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1" activeTab="3"/>
  </bookViews>
  <sheets>
    <sheet name="ШтУтв" sheetId="1" r:id="rId1"/>
    <sheet name="Зп 2а" sheetId="2" r:id="rId2"/>
    <sheet name="Зп 2б" sheetId="3" r:id="rId3"/>
    <sheet name="Смета 2021" sheetId="4" r:id="rId4"/>
    <sheet name="Прил.3-9" sheetId="5" r:id="rId5"/>
    <sheet name="Прил.10 Льготы" sheetId="6" r:id="rId6"/>
    <sheet name="Прил.1 ФЭО" sheetId="7" r:id="rId7"/>
  </sheets>
  <definedNames>
    <definedName name="_xlnm._FilterDatabase" localSheetId="5" hidden="1">'Прил.10 Льготы'!$A$4:$J$71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5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J6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8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9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10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12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E6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E7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E8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E9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E10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E11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E12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I7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I9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I10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I11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I12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J7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J8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J9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J10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J11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J12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M6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M7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M8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M9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M10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M11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M12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K7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6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8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9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G9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I9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J8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J9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K9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L8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L9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M6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M8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M9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20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23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2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28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29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46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47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56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забыть ЗАДВОЕНИЕ РАСХОДОВ</t>
        </r>
      </text>
    </comment>
    <comment ref="C3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48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C3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налог по УСН, рассчитан база*106,43/100</t>
        </r>
      </text>
    </comment>
    <comment ref="D34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D38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38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D42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42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46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D46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<sst xmlns="http://schemas.openxmlformats.org/spreadsheetml/2006/main" count="615" uniqueCount="459">
  <si>
    <t>Итого</t>
  </si>
  <si>
    <t>Расходная часть</t>
  </si>
  <si>
    <t>Сумма</t>
  </si>
  <si>
    <t>Примечание</t>
  </si>
  <si>
    <t>Расходы на вывоз и утилизацию мусора</t>
  </si>
  <si>
    <t>№ строки</t>
  </si>
  <si>
    <t>графа 1</t>
  </si>
  <si>
    <t>графа 2</t>
  </si>
  <si>
    <t>графа 3</t>
  </si>
  <si>
    <t>графа 4</t>
  </si>
  <si>
    <t>графа 5</t>
  </si>
  <si>
    <t>Наименование статьи</t>
  </si>
  <si>
    <t>Председатель правления СНТ "Раздолье-1"</t>
  </si>
  <si>
    <t>Васильев А.Г.</t>
  </si>
  <si>
    <t>Расчет на 1 стандартный участок размером 6 соток</t>
  </si>
  <si>
    <t>2.2.1.</t>
  </si>
  <si>
    <t>главный бухгалтер</t>
  </si>
  <si>
    <t>инженер-энергетик</t>
  </si>
  <si>
    <t>тракторист</t>
  </si>
  <si>
    <t>сварщик</t>
  </si>
  <si>
    <t>слесарь1</t>
  </si>
  <si>
    <t>Трактор</t>
  </si>
  <si>
    <t xml:space="preserve">Транспортный налог </t>
  </si>
  <si>
    <t>2.2.2.</t>
  </si>
  <si>
    <t>2.2.3.</t>
  </si>
  <si>
    <r>
      <t>Расходы, связанные с учетно-распорядительной деятельностью</t>
    </r>
    <r>
      <rPr>
        <sz val="11"/>
        <color indexed="8"/>
        <rFont val="Calibri"/>
        <family val="2"/>
      </rPr>
      <t xml:space="preserve"> </t>
    </r>
  </si>
  <si>
    <t>Канцтовары</t>
  </si>
  <si>
    <t>Обслуживание оргтехники</t>
  </si>
  <si>
    <t>Обслуживание расч.счета</t>
  </si>
  <si>
    <t>Приобретение оргтехники</t>
  </si>
  <si>
    <t>Аренда офиса, включая охрану</t>
  </si>
  <si>
    <t xml:space="preserve">Расходы на содержание транпорта </t>
  </si>
  <si>
    <t>2.2.4.</t>
  </si>
  <si>
    <t>2.2.5.</t>
  </si>
  <si>
    <t>2.2.6.</t>
  </si>
  <si>
    <t>2.2.7.</t>
  </si>
  <si>
    <t>Обучение специалистов</t>
  </si>
  <si>
    <t xml:space="preserve">Итого по разделу 2.2. </t>
  </si>
  <si>
    <t xml:space="preserve">Итого по разделу 2.3. </t>
  </si>
  <si>
    <t>2.4.1.</t>
  </si>
  <si>
    <t>2.4.2.</t>
  </si>
  <si>
    <t>2.4.3.</t>
  </si>
  <si>
    <t>001</t>
  </si>
  <si>
    <t>002</t>
  </si>
  <si>
    <t>003</t>
  </si>
  <si>
    <t>004</t>
  </si>
  <si>
    <t xml:space="preserve">Итого по разделу 2.4. </t>
  </si>
  <si>
    <t>Замена светильников на светодиодные</t>
  </si>
  <si>
    <t>сигнализация, обслуживание</t>
  </si>
  <si>
    <t>содержание дорог, проездов в границах товарищества</t>
  </si>
  <si>
    <t>2.3.1.</t>
  </si>
  <si>
    <t>2.3.2.</t>
  </si>
  <si>
    <t>2.3.4.</t>
  </si>
  <si>
    <t>2.3.5.</t>
  </si>
  <si>
    <t>2.3.6.</t>
  </si>
  <si>
    <t>2.3.7.</t>
  </si>
  <si>
    <t>2.3.8.</t>
  </si>
  <si>
    <t>Почтовые расходы</t>
  </si>
  <si>
    <t>Целевые взносы прошлых лет</t>
  </si>
  <si>
    <t>1.1.1.</t>
  </si>
  <si>
    <t>1.1.2.</t>
  </si>
  <si>
    <t>1.2.1.</t>
  </si>
  <si>
    <t>1.2.2.</t>
  </si>
  <si>
    <t>Работник (должность, специальность)</t>
  </si>
  <si>
    <t>№ п/п</t>
  </si>
  <si>
    <t>Всего</t>
  </si>
  <si>
    <r>
      <t xml:space="preserve">Расходы на электроэнергию на общехозяйственные нужды </t>
    </r>
    <r>
      <rPr>
        <i/>
        <sz val="8"/>
        <color indexed="8"/>
        <rFont val="Calibri"/>
        <family val="2"/>
      </rPr>
      <t>(технологические потери, освещение, работа насосной, электрификация здания правления, охраны, гаража, мастерских, расходы на холостой ход трансформатора в зимний период, сварочные работы по замене межевых и магистральных труб).</t>
    </r>
  </si>
  <si>
    <t>005</t>
  </si>
  <si>
    <t>006</t>
  </si>
  <si>
    <t>007</t>
  </si>
  <si>
    <t>слесарь 2</t>
  </si>
  <si>
    <t>месяцев выплаты</t>
  </si>
  <si>
    <t>итого за период</t>
  </si>
  <si>
    <t>Итого по разделу 1.1.</t>
  </si>
  <si>
    <t>Приложение №3</t>
  </si>
  <si>
    <t>Расходы на приобретение топлива (ДТ, бензин)</t>
  </si>
  <si>
    <t>Запасные части, включая приобретение шин</t>
  </si>
  <si>
    <t>Тех.обслуживание, ремонт (услуги сторонних организаций)</t>
  </si>
  <si>
    <t>Приложение №4</t>
  </si>
  <si>
    <t>1.2. Взносы (долги прошлых лет)</t>
  </si>
  <si>
    <t>Итого по разделу 1.2.</t>
  </si>
  <si>
    <t>Всего поступление денежных средств</t>
  </si>
  <si>
    <t>Приложение №5</t>
  </si>
  <si>
    <t>Приложение №6</t>
  </si>
  <si>
    <t>Приложение №7</t>
  </si>
  <si>
    <t>Расходы на попожарную безопасность</t>
  </si>
  <si>
    <t xml:space="preserve">Расходы, связанные с учетно-распорядительной деятельностью </t>
  </si>
  <si>
    <t>Расходы на связь, интернет</t>
  </si>
  <si>
    <t>Гос.пошлины, услуги нотариуса</t>
  </si>
  <si>
    <t xml:space="preserve">Обслуживание охранной сигнализации </t>
  </si>
  <si>
    <t>Страховка , тех.осмотр, гос. пошлины, штрафы</t>
  </si>
  <si>
    <t>Расходы на содержание электрохозяйства</t>
  </si>
  <si>
    <t xml:space="preserve">Фонд счетчиков под замену </t>
  </si>
  <si>
    <t>Приобретение магистральных труб</t>
  </si>
  <si>
    <t>Расходы на содержание прочего хозяйства</t>
  </si>
  <si>
    <t>Спецодежда, средства индивидуальной защиты</t>
  </si>
  <si>
    <t>обучение</t>
  </si>
  <si>
    <t>Электроарматура, электроматериалы</t>
  </si>
  <si>
    <t>Лампы</t>
  </si>
  <si>
    <t>Наименование расходов</t>
  </si>
  <si>
    <t>Хозяйственный инвентарь, расходные материалы</t>
  </si>
  <si>
    <t>Бензин д/техники</t>
  </si>
  <si>
    <t>Приобретение дорогостоящих инструментов и оборудования</t>
  </si>
  <si>
    <t>Ремонт и обслуживание АСКУЭ</t>
  </si>
  <si>
    <t>материалы, инструменты и т.д.</t>
  </si>
  <si>
    <t>Задвижки, муфты, отводы</t>
  </si>
  <si>
    <t>Прочие материалы (кислород, пропан, балоны, электроды, метизы)</t>
  </si>
  <si>
    <t>графа 6</t>
  </si>
  <si>
    <t>Приходная часть (доходы)</t>
  </si>
  <si>
    <t>выкос пожарной полосы вдоль восточного берега</t>
  </si>
  <si>
    <t xml:space="preserve">2.2  Ежегодные расходы на  содержание ИОП (за счет членских взносов), рассчитываются от площади </t>
  </si>
  <si>
    <t>Расходы, связанные с выплатами работникам Товарищества, непосредственно задействованных в обслуживании ИОП</t>
  </si>
  <si>
    <t>поливная вода (текущий ремонт насосной станции, резервуара поливной воды, замена магистральных труб и т.д )</t>
  </si>
  <si>
    <t>текущее содержание электрохозяйства</t>
  </si>
  <si>
    <t>Расходы на содержание хозяйства (ИОП), всего, в том числе</t>
  </si>
  <si>
    <t>общехозяйственные расходы, необходимые для содержания ИОП (инструменты, спецодежда и т.д.)</t>
  </si>
  <si>
    <t>1.3.</t>
  </si>
  <si>
    <t>Прочие взносы, доходы (в том числе налогооблагаемые)</t>
  </si>
  <si>
    <t>Расходы на содержание транспорта</t>
  </si>
  <si>
    <t>Членские взносы прошлых лет (кроме взносов за электричество по ИПУ)</t>
  </si>
  <si>
    <t>Расходы, связанные с выплатами работникам, занимающимся учетом и управлением в Товариществе</t>
  </si>
  <si>
    <t>Расходы на питьевую воду</t>
  </si>
  <si>
    <t>2.3. Расходы на  содержание, ремонт, благоустройство ИОП (за счет членских взносов), не зависят от площади, взносы  рассчитываются на участок фиксировано</t>
  </si>
  <si>
    <t>Расходы на чистку от снега дороги общего пользования (от Хрящевского поворота до границ СНТ), услуги сторонних организаций</t>
  </si>
  <si>
    <t>Расходы на проведение кадастровых работ для внесения в ЕГРН сведений об объектах ИОП</t>
  </si>
  <si>
    <t>Расходы на создание и приобретение ИОП</t>
  </si>
  <si>
    <t>Расходы на целевые мероприятия всего, в том числе</t>
  </si>
  <si>
    <t>Всего расходов Товарищества</t>
  </si>
  <si>
    <t>Расходы на охрану ИОП на территории товарищества</t>
  </si>
  <si>
    <t>Расходы на поливную воду (текущий ремонт насосной станции, резервуара поливной воды, замена магистральных труб и т.д )</t>
  </si>
  <si>
    <t>Ремонт опор и линии электропередачи на территории Товарищества</t>
  </si>
  <si>
    <t>Ремонт насосной станции</t>
  </si>
  <si>
    <t>2.3.3.</t>
  </si>
  <si>
    <t>2.4. Ежегодные расходы на управление ИОП (за счет членских взносов), не зависят от площади, взносы  рассчитываются на участок фиксировано</t>
  </si>
  <si>
    <t>Приложение №8</t>
  </si>
  <si>
    <t>-</t>
  </si>
  <si>
    <t>2.5.1.</t>
  </si>
  <si>
    <t>Утвержден правлением  СНТ "Раздолье-1"</t>
  </si>
  <si>
    <t>2.5.6.</t>
  </si>
  <si>
    <t xml:space="preserve">Итого по разделу 2.5. </t>
  </si>
  <si>
    <t>2.5. Ежегодные расходы на проведение общих собраний членов Товарищества, выполнение решений этих собраний (за счет членских взносов), не зависят от площади, взносы  рассчитываются на участок фиксировано</t>
  </si>
  <si>
    <t>2.4.4.</t>
  </si>
  <si>
    <t>Обслуживание сайта (ежегодное)</t>
  </si>
  <si>
    <t>Обновление и обслуживание програмного обеспечения ежегодное</t>
  </si>
  <si>
    <t>Доработка Бухг.программы для организации обмена данными с банком, АСКУЭ, сайтом</t>
  </si>
  <si>
    <t>2.6. Расходы Товарищества за счет целевых взносов, взносы рассчитываются исходя из целей и назначений расходов по каждой статье (либо на участок, либо на сотку)</t>
  </si>
  <si>
    <t>2.6.1.</t>
  </si>
  <si>
    <t>2.6.2.</t>
  </si>
  <si>
    <t>2.6.3.</t>
  </si>
  <si>
    <t>электрик1</t>
  </si>
  <si>
    <t>электрик 2 (0.5 единицы)</t>
  </si>
  <si>
    <t>оклад</t>
  </si>
  <si>
    <t>Максимально возможные премии (по рещению правления)</t>
  </si>
  <si>
    <t>Взносы в Фонды, согласно дейст.зак-ву 30,7%</t>
  </si>
  <si>
    <t>Расходы  на участок 6 соток в год (справочно)</t>
  </si>
  <si>
    <t>Фонд материальной помощи</t>
  </si>
  <si>
    <t>Фонд выплат по договорам ГПХ за обслуживание электрохозяйства в зимний период</t>
  </si>
  <si>
    <t>Взносы в Фонды по договорам ГПХ  за обслуживание электрохозяйства в зимний период 27,10%</t>
  </si>
  <si>
    <t>графа 7</t>
  </si>
  <si>
    <t>графа 8</t>
  </si>
  <si>
    <t>графа 9</t>
  </si>
  <si>
    <t>01</t>
  </si>
  <si>
    <t>02</t>
  </si>
  <si>
    <t>03</t>
  </si>
  <si>
    <t>04</t>
  </si>
  <si>
    <t>Расходы, связанные с выплатами работникам Товарищества, непосредственно задействованных в обслуживании ИОП (стр.2.2.1. сметы)</t>
  </si>
  <si>
    <t>Взносы в Фонды по договорам ГПХ членам правления и РК 27,10%</t>
  </si>
  <si>
    <t>стр.2.4.1. сметы</t>
  </si>
  <si>
    <t>Итог (стр.01гр.8+стр.02гр.3)</t>
  </si>
  <si>
    <t>ремонт дороги общего пользования</t>
  </si>
  <si>
    <t>Льготы отдельным членам Товарищества, в том числе членам правления и членам ревизионной комиссии</t>
  </si>
  <si>
    <t>Выплачено на руки, после удержания налогов</t>
  </si>
  <si>
    <t>графа 10</t>
  </si>
  <si>
    <t>графа 11</t>
  </si>
  <si>
    <t>начислено, включая налоги и взносы</t>
  </si>
  <si>
    <t>Затраты на оплату труда за год (сезон) по окладу</t>
  </si>
  <si>
    <r>
      <t xml:space="preserve">Расходы  на участок 6 соток в </t>
    </r>
    <r>
      <rPr>
        <b/>
        <sz val="9"/>
        <color indexed="8"/>
        <rFont val="Calibri"/>
        <family val="2"/>
      </rPr>
      <t>год</t>
    </r>
    <r>
      <rPr>
        <sz val="9"/>
        <color indexed="8"/>
        <rFont val="Calibri"/>
        <family val="2"/>
      </rPr>
      <t xml:space="preserve"> (справочно)</t>
    </r>
  </si>
  <si>
    <r>
      <t xml:space="preserve">Расходы  на участок 6 соток в </t>
    </r>
    <r>
      <rPr>
        <b/>
        <sz val="11"/>
        <color indexed="8"/>
        <rFont val="Calibri"/>
        <family val="2"/>
      </rPr>
      <t>год</t>
    </r>
    <r>
      <rPr>
        <sz val="11"/>
        <color theme="1"/>
        <rFont val="Calibri"/>
        <family val="2"/>
      </rPr>
      <t xml:space="preserve"> (справочно), начислено, включая налоги, сборы</t>
    </r>
  </si>
  <si>
    <r>
      <t xml:space="preserve">Расходы  на участок 6 соток в </t>
    </r>
    <r>
      <rPr>
        <b/>
        <sz val="11"/>
        <color indexed="8"/>
        <rFont val="Calibri"/>
        <family val="2"/>
      </rPr>
      <t>год</t>
    </r>
    <r>
      <rPr>
        <sz val="11"/>
        <color theme="1"/>
        <rFont val="Calibri"/>
        <family val="2"/>
      </rPr>
      <t xml:space="preserve"> (справочно), выплачено на руки</t>
    </r>
  </si>
  <si>
    <r>
      <t xml:space="preserve">Расходы на оплату труда, взносы в Фонды, компенсации всего в </t>
    </r>
    <r>
      <rPr>
        <b/>
        <sz val="9"/>
        <color indexed="8"/>
        <rFont val="Calibri"/>
        <family val="2"/>
      </rPr>
      <t>год (сезон)</t>
    </r>
  </si>
  <si>
    <r>
      <t xml:space="preserve">Выплаты на руки, после удержания налогов, в </t>
    </r>
    <r>
      <rPr>
        <b/>
        <sz val="9"/>
        <color indexed="8"/>
        <rFont val="Calibri"/>
        <family val="2"/>
      </rPr>
      <t>год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(сезон)</t>
    </r>
  </si>
  <si>
    <r>
      <t>Выплаты на руки, после удержания налогов,</t>
    </r>
    <r>
      <rPr>
        <b/>
        <sz val="9"/>
        <color indexed="8"/>
        <rFont val="Calibri"/>
        <family val="2"/>
      </rPr>
      <t xml:space="preserve"> в год (сезон)</t>
    </r>
  </si>
  <si>
    <r>
      <t>Расходы  на участок 6 соток в</t>
    </r>
    <r>
      <rPr>
        <b/>
        <sz val="11"/>
        <color indexed="8"/>
        <rFont val="Calibri"/>
        <family val="2"/>
      </rPr>
      <t xml:space="preserve"> год </t>
    </r>
    <r>
      <rPr>
        <sz val="11"/>
        <color theme="1"/>
        <rFont val="Calibri"/>
        <family val="2"/>
      </rPr>
      <t>(справочно), начислено, включая налоги, сборы</t>
    </r>
  </si>
  <si>
    <t>Условия труда, положение об оплате труда (ч.3,12 ст.16 217-ФЗ)</t>
  </si>
  <si>
    <t>Оплата труда членов правления и членов ревизионной комиссии. Условия оплаты труда, положение об оплате труда (ч.3,12 ст.16 217-ФЗ)</t>
  </si>
  <si>
    <t>Максимально возможные компенсации  (в соответствии с положением, по рещению правления) Условия труда, положение об оплате труда (ч.3,12 ст.16 217-ФЗ)</t>
  </si>
  <si>
    <t>трудовой договор, полная занятость</t>
  </si>
  <si>
    <t>срочный трудовой договор на сезон, полная занятость</t>
  </si>
  <si>
    <t>электрик 2</t>
  </si>
  <si>
    <t>срочный трудовой договор на сезон, не полный рабочий день (0,5 единицы)</t>
  </si>
  <si>
    <t>член правления, трудовой договор на время избрания, полная занятость</t>
  </si>
  <si>
    <t>Договор гражданско-правового характера (ГПХ). Оказанные услуги, выполненные работы оплачиваются сдельно. Не подлежит обязательному социальному страхованию. Условия оплаты, время исполнения прописываются в договоре.</t>
  </si>
  <si>
    <t>Итог (стр.01гр.8+стр.02гр.3+стр.03гр.3+стр.04гр.3)</t>
  </si>
  <si>
    <t>Компенсации  (в соответствии с положением, по рещению правления) Условия труда, положение об оплате труда (ч.3,12 ст.16 217-ФЗ)</t>
  </si>
  <si>
    <r>
      <t>Затраты на оплату труда за</t>
    </r>
    <r>
      <rPr>
        <b/>
        <sz val="9"/>
        <color indexed="8"/>
        <rFont val="Calibri"/>
        <family val="2"/>
      </rPr>
      <t xml:space="preserve"> год (сезон) </t>
    </r>
    <r>
      <rPr>
        <sz val="9"/>
        <color indexed="8"/>
        <rFont val="Calibri"/>
        <family val="2"/>
      </rPr>
      <t>по окладу. Условия труда, положение об оплате труда (ч.3,12 ст.16 217-ФЗ)</t>
    </r>
  </si>
  <si>
    <t>стр.2.2.1. сметы</t>
  </si>
  <si>
    <t>Банковские расходы на прием платежей</t>
  </si>
  <si>
    <t>Приложение №9</t>
  </si>
  <si>
    <t>1.</t>
  </si>
  <si>
    <t>По тарифу, утвержденному Правительством Самарской области (за 1кВт)</t>
  </si>
  <si>
    <t>2.</t>
  </si>
  <si>
    <t>справочно на участок 6 соток</t>
  </si>
  <si>
    <t>3.</t>
  </si>
  <si>
    <t>4.</t>
  </si>
  <si>
    <t>Итого взносов на участок 6 соток в рублях</t>
  </si>
  <si>
    <t>ночь</t>
  </si>
  <si>
    <t>день</t>
  </si>
  <si>
    <t>Договора нет пока</t>
  </si>
  <si>
    <t>за м2 площади земельного уч-ка в рублях</t>
  </si>
  <si>
    <t>фиксировано на любой участок в рублях</t>
  </si>
  <si>
    <t>фиксировано на участок в рублях</t>
  </si>
  <si>
    <t>Плата за потребленную электроэнергию (в соответствиии с показаниями индивидуальных приборов учета)</t>
  </si>
  <si>
    <t xml:space="preserve">Ответственный за мероприятия, предполагаемые Приходно-расходной СНТ "Раздолье-1" (статья 18 часть 9, 217-ФЗ) </t>
  </si>
  <si>
    <t>Приложение №2, 2а</t>
  </si>
  <si>
    <t>Приложение №2, 2б</t>
  </si>
  <si>
    <t>Приложение №2б</t>
  </si>
  <si>
    <t>Расходы на оплату юридических услуг (по должникам)</t>
  </si>
  <si>
    <t>председатель товарищества</t>
  </si>
  <si>
    <t>Содержание трансформаторов в т.ч. обследование (анализ масла), текущий ремонт (включая замену масла)</t>
  </si>
  <si>
    <t>Приобретение и поверка инструмента, оборудования, СИЗ</t>
  </si>
  <si>
    <t>Доработка автоматики (на перелив воды)</t>
  </si>
  <si>
    <r>
      <t xml:space="preserve">Оплата труда по окладу </t>
    </r>
    <r>
      <rPr>
        <sz val="10"/>
        <color indexed="8"/>
        <rFont val="Calibri"/>
        <family val="2"/>
      </rPr>
      <t>(на основании штатного расписания, последний столбец)</t>
    </r>
  </si>
  <si>
    <t>Компенсация за неисп.отпуск при увольнении по ТК (приблизительно). У тракториста отпускные полностью</t>
  </si>
  <si>
    <t>Спавочно. Среднемесячный доход сотрудника</t>
  </si>
  <si>
    <t>графа 12</t>
  </si>
  <si>
    <t xml:space="preserve">Компенсация за неисп.отпуск при увольнении по ТК. Отпускные. </t>
  </si>
  <si>
    <t>Оплата труда членов правления и членов ревизионной комиссии, делопроизводителя, юриста и т.д.</t>
  </si>
  <si>
    <t>Фонд выплат по договорам ГПХ членам правления и членам ревизионнной комиссиии,  делопроизводителя, юриста и т.д.</t>
  </si>
  <si>
    <t>Всего расходов на оплатутруда членов правления и членов ревизионной комиссии, делопроизводителя, юриста и т.д.</t>
  </si>
  <si>
    <t>2.3.9.</t>
  </si>
  <si>
    <t>2.3.10.</t>
  </si>
  <si>
    <t>2.3.11.</t>
  </si>
  <si>
    <t>Благоустройство территории около административного здания</t>
  </si>
  <si>
    <t>Расходы на ремонт и благоустройство зданий, сооружений, помещений Товарищества</t>
  </si>
  <si>
    <t>Тарифы на 01.01.2020 (в июле рост тарифов)</t>
  </si>
  <si>
    <t>Прочие расходы</t>
  </si>
  <si>
    <t>за 1 кв.м.</t>
  </si>
  <si>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Членский взнос от площади</t>
    </r>
    <r>
      <rPr>
        <sz val="9"/>
        <color indexed="8"/>
        <rFont val="Calibri"/>
        <family val="2"/>
      </rPr>
      <t xml:space="preserve"> (стр.002)</t>
    </r>
  </si>
  <si>
    <t>Спавочно. Среднемесячный доход сотрудника (на руки)</t>
  </si>
  <si>
    <t>Вывоз ТКО (1000 м3 *598,16 руб.)</t>
  </si>
  <si>
    <t>Вывоз прочего мусора (600 м3 *750 руб.)</t>
  </si>
  <si>
    <t>Расчет взносов на основании Приходно-расходной сметы</t>
  </si>
  <si>
    <t>итого</t>
  </si>
  <si>
    <t>стр.2.2.4 Сметы</t>
  </si>
  <si>
    <t>стр. 2.2.5 (1) Сметы</t>
  </si>
  <si>
    <t>стр. 2.2.5 (2) Сметы</t>
  </si>
  <si>
    <t>стр. 2.2.5 (4) Сметы</t>
  </si>
  <si>
    <t>стр.2.2.6 Сметы</t>
  </si>
  <si>
    <t>стр.2.3.3. Сметы</t>
  </si>
  <si>
    <t>стр.2.4.3. Сметы</t>
  </si>
  <si>
    <t>Обслуживание водозабора</t>
  </si>
  <si>
    <t xml:space="preserve">         В отчете  отдельные таблицы</t>
  </si>
  <si>
    <t>соль, фильтры, емкость</t>
  </si>
  <si>
    <t>6.</t>
  </si>
  <si>
    <t>7.</t>
  </si>
  <si>
    <t>8.</t>
  </si>
  <si>
    <t>9.</t>
  </si>
  <si>
    <t>10.</t>
  </si>
  <si>
    <t>в том числе налог на доходы (перечисляется в бюджет РФ)</t>
  </si>
  <si>
    <t xml:space="preserve"> Финасово-экономическое обоснование размера взносов с собственников(правообладателей) земельных участков, расположенных в границах СНТ "Раздолье-1" (ФЭО)</t>
  </si>
  <si>
    <r>
      <t>По Смете ч</t>
    </r>
    <r>
      <rPr>
        <sz val="11"/>
        <color indexed="8"/>
        <rFont val="Calibri"/>
        <family val="2"/>
      </rPr>
      <t>ленский взнос</t>
    </r>
    <r>
      <rPr>
        <sz val="11"/>
        <color indexed="8"/>
        <rFont val="Calibri"/>
        <family val="2"/>
      </rPr>
      <t xml:space="preserve"> всего</t>
    </r>
  </si>
  <si>
    <r>
      <rPr>
        <sz val="11"/>
        <color indexed="8"/>
        <rFont val="Calibri"/>
        <family val="2"/>
      </rPr>
      <t>По Смете целевой взнос</t>
    </r>
    <r>
      <rPr>
        <sz val="11"/>
        <color indexed="8"/>
        <rFont val="Calibri"/>
        <family val="2"/>
      </rPr>
      <t xml:space="preserve"> (дороги)</t>
    </r>
  </si>
  <si>
    <t>Члены правления:</t>
  </si>
  <si>
    <t>Батун Н.И._______________________</t>
  </si>
  <si>
    <t>Сабанчева Н.Л._________________</t>
  </si>
  <si>
    <t>Архипов А.А. _____________________</t>
  </si>
  <si>
    <t>Терещенко И.Ф.________________</t>
  </si>
  <si>
    <t>Комиссарова С.А.____________________</t>
  </si>
  <si>
    <t>Миннибаев Д.З._______________</t>
  </si>
  <si>
    <t>Членский взнос фиксированный (сумма стр.003, 004,005 : на все 1248 участков)</t>
  </si>
  <si>
    <t>Приложение №2 к приходно-расходной смете на 2021 год</t>
  </si>
  <si>
    <t>бухгалтер-экономист</t>
  </si>
  <si>
    <t>Приложение №2а к приходно-расходной смете на 2021 год</t>
  </si>
  <si>
    <t>Нива</t>
  </si>
  <si>
    <t>По Смете итого взносов 2021г.</t>
  </si>
  <si>
    <r>
      <rPr>
        <b/>
        <sz val="11"/>
        <color indexed="8"/>
        <rFont val="Calibri"/>
        <family val="2"/>
      </rPr>
      <t>Окончательный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Расчет размера взносов (платы)  на 2021 год </t>
    </r>
    <r>
      <rPr>
        <sz val="11"/>
        <color theme="1"/>
        <rFont val="Calibri"/>
        <family val="2"/>
      </rPr>
      <t xml:space="preserve">в Приложении №1 </t>
    </r>
    <r>
      <rPr>
        <b/>
        <sz val="11"/>
        <color indexed="8"/>
        <rFont val="Calibri"/>
        <family val="2"/>
      </rPr>
      <t xml:space="preserve">"Финасово-экономическое обоснование </t>
    </r>
    <r>
      <rPr>
        <sz val="11"/>
        <color theme="1"/>
        <rFont val="Calibri"/>
        <family val="2"/>
      </rPr>
      <t>размера взносов с собственников(правообладателей) земельных участков, расположенных в границах СНТ "Раздолье-1""</t>
    </r>
  </si>
  <si>
    <t>бухгалтер-экономист Ответственный исполнитель расчетов</t>
  </si>
  <si>
    <t>Голосова И.А.______________________</t>
  </si>
  <si>
    <t>1.1.  Взносы 2021 (в том числе от не членов Товарищества)</t>
  </si>
  <si>
    <t xml:space="preserve"> Приходно-расходная смета СНТ "Раздолье-1"на 2021 год (проект)</t>
  </si>
  <si>
    <t>Приложение №3 к приходно-расходной смете на 2021 год</t>
  </si>
  <si>
    <t>Приложение №4 к приходно-расходной смете на 2021 год</t>
  </si>
  <si>
    <t>Приложение №5 к приходно-расходной смете на 2021 год</t>
  </si>
  <si>
    <t>Приложение №6 к приходно-расходной смете на 2021 год</t>
  </si>
  <si>
    <t>Приложение №7 к приходно-расходной смете на 2021 год</t>
  </si>
  <si>
    <t>Приложение №8 к приходно-расходной смете на 2021 год</t>
  </si>
  <si>
    <t>Приложение №9 к приходно-расходной смете на 2021 год</t>
  </si>
  <si>
    <t>Приложение №1 к приходно-расходной смете на 2021 год</t>
  </si>
  <si>
    <t>рост тарифов с 1 июля 2021</t>
  </si>
  <si>
    <t>Членские взносы 2021 (кроме взносов за электричество по ИПУ)</t>
  </si>
  <si>
    <t>Целевые взносы 2021 (ремонт дороги)</t>
  </si>
  <si>
    <t>Аренда зала и т.д.</t>
  </si>
  <si>
    <t>Расходы на укрепление береговой зоны</t>
  </si>
  <si>
    <t>Земельный налог, налог на имущество</t>
  </si>
  <si>
    <t>Приложение №2б к приходно-расходной смете на 2021 год</t>
  </si>
  <si>
    <t>Штатное расписание на 2021 год и оклады на 1 квартал 2022 года</t>
  </si>
  <si>
    <t>Итого за 2021 год</t>
  </si>
  <si>
    <t>За период с 01.01.2021 по 31.03.2021</t>
  </si>
  <si>
    <t>За период с 01.04.2021 по 31.10.2021</t>
  </si>
  <si>
    <t>За период с 01.11.2021 по 31.12.2021 и оклады на 1 квартал 2022</t>
  </si>
  <si>
    <t>Расчет произведен с учетом размеров участков, без учета льгот Количество участков 1245        ( +1 сотка)</t>
  </si>
  <si>
    <t>Приложение 10</t>
  </si>
  <si>
    <t>№п/п</t>
  </si>
  <si>
    <t>ФИО Уполномоченного</t>
  </si>
  <si>
    <t>Улица</t>
  </si>
  <si>
    <t>Номера участков</t>
  </si>
  <si>
    <t>Кол-во участков</t>
  </si>
  <si>
    <t>Льгота Старшим по улицам</t>
  </si>
  <si>
    <t>Льготы ЧП и РК</t>
  </si>
  <si>
    <t>Акишев Николай Андреевич</t>
  </si>
  <si>
    <t>Черемшанная</t>
  </si>
  <si>
    <t>1-22</t>
  </si>
  <si>
    <t>Антонова Елена Вячеславовна</t>
  </si>
  <si>
    <t>ЧРК</t>
  </si>
  <si>
    <t>Архипов Александр Александрович</t>
  </si>
  <si>
    <t>ЧП+Солнечная</t>
  </si>
  <si>
    <t>38-57</t>
  </si>
  <si>
    <t>Баранов Геннадий Николаевич</t>
  </si>
  <si>
    <t>Рыбацкая</t>
  </si>
  <si>
    <t>41-60</t>
  </si>
  <si>
    <t>Баткаев Камиль Якубович</t>
  </si>
  <si>
    <t>Родниковая</t>
  </si>
  <si>
    <t>1-20</t>
  </si>
  <si>
    <t>Батун Николай Иванович</t>
  </si>
  <si>
    <t>ЧП</t>
  </si>
  <si>
    <t>Бондаренко Сергей Евгеньевич</t>
  </si>
  <si>
    <t>Золотой плёс</t>
  </si>
  <si>
    <t>45-63</t>
  </si>
  <si>
    <t>Лебяжья</t>
  </si>
  <si>
    <t>1-13</t>
  </si>
  <si>
    <t>Васильев Алексей Генрихович</t>
  </si>
  <si>
    <t>ЧП + Южная</t>
  </si>
  <si>
    <t>29-45</t>
  </si>
  <si>
    <t>Влащенков Валерий Алексеевич</t>
  </si>
  <si>
    <t>Северная</t>
  </si>
  <si>
    <t>16-31</t>
  </si>
  <si>
    <t>Гиниятуллин Нургалям Нурмухаметович</t>
  </si>
  <si>
    <t>1-24</t>
  </si>
  <si>
    <t>Горчев Александр Владимирович</t>
  </si>
  <si>
    <t>ЧРК+Дачный тупик</t>
  </si>
  <si>
    <t>1-30</t>
  </si>
  <si>
    <t>Долгих Сергей Николаевич</t>
  </si>
  <si>
    <t>61-90</t>
  </si>
  <si>
    <t>Ермаков Владимир Иванович</t>
  </si>
  <si>
    <t>Соловьиная</t>
  </si>
  <si>
    <t>56-83</t>
  </si>
  <si>
    <t>Ермолаев Владимир Иванович</t>
  </si>
  <si>
    <t>Садовая</t>
  </si>
  <si>
    <t>Журавлева Татьяна Ивановна</t>
  </si>
  <si>
    <t>Зенкин Борис Николаевич</t>
  </si>
  <si>
    <t>34-51</t>
  </si>
  <si>
    <t>Зуйков Сергей Валерьевич</t>
  </si>
  <si>
    <t>1-15</t>
  </si>
  <si>
    <t>Зырянова Елена Алексеевна</t>
  </si>
  <si>
    <t>21-40</t>
  </si>
  <si>
    <t>Иванова Татьяна Михайловна</t>
  </si>
  <si>
    <t>Пляжная</t>
  </si>
  <si>
    <t>1-14</t>
  </si>
  <si>
    <t>Иголкин Юрий Николаевич</t>
  </si>
  <si>
    <t>Центральная</t>
  </si>
  <si>
    <t>1-19</t>
  </si>
  <si>
    <t>Ильин Сергей Станиславович</t>
  </si>
  <si>
    <t>36-55</t>
  </si>
  <si>
    <t>Канадина Галина Васильевна</t>
  </si>
  <si>
    <t>Жаворонковая</t>
  </si>
  <si>
    <t>35-54</t>
  </si>
  <si>
    <t>Калёнов Сергей Юрьевич</t>
  </si>
  <si>
    <t>55-74</t>
  </si>
  <si>
    <t>Карачков Юрий Петрович</t>
  </si>
  <si>
    <t>Луговая</t>
  </si>
  <si>
    <t>1-31</t>
  </si>
  <si>
    <t>Кастолина Кристина Валериевна</t>
  </si>
  <si>
    <t>Морская</t>
  </si>
  <si>
    <t>1-7</t>
  </si>
  <si>
    <t>Килин Николай Владимирович</t>
  </si>
  <si>
    <t>15-34</t>
  </si>
  <si>
    <t>Кирилин Александр Юрьевич</t>
  </si>
  <si>
    <t>Приморская</t>
  </si>
  <si>
    <t>1-27</t>
  </si>
  <si>
    <t>Комиссарова Светлана Александровна</t>
  </si>
  <si>
    <t>Кудряшов Сергей Иванович</t>
  </si>
  <si>
    <t>Кузнецова Татьяна Николаевна</t>
  </si>
  <si>
    <t>Дубравная</t>
  </si>
  <si>
    <t>Кулинич Леонид Алексеевич</t>
  </si>
  <si>
    <t>Лавренин Владимир Николаевич</t>
  </si>
  <si>
    <t>Солнечная</t>
  </si>
  <si>
    <t>18-37</t>
  </si>
  <si>
    <t>Лапин Василий Васильевич</t>
  </si>
  <si>
    <t>61-86</t>
  </si>
  <si>
    <t>Южная</t>
  </si>
  <si>
    <t>1-8А</t>
  </si>
  <si>
    <t>Лейман Сергей Фридрихович</t>
  </si>
  <si>
    <t>Лоцманов Денис Викторович</t>
  </si>
  <si>
    <t>32-48</t>
  </si>
  <si>
    <t>Лушкина Татьяна Васильевна</t>
  </si>
  <si>
    <t>55-76</t>
  </si>
  <si>
    <t>Малькова Наталья Викторовна</t>
  </si>
  <si>
    <t>Звездная</t>
  </si>
  <si>
    <t>Миннибаев Дамир Загидович</t>
  </si>
  <si>
    <t>Никаноров Александр Михайлович</t>
  </si>
  <si>
    <t>1-17</t>
  </si>
  <si>
    <t>Панов Борис Васильевич</t>
  </si>
  <si>
    <t>Спортивная</t>
  </si>
  <si>
    <t xml:space="preserve"> Сусканская</t>
  </si>
  <si>
    <t>1-18</t>
  </si>
  <si>
    <t>Сабанчева Наталия Львовна</t>
  </si>
  <si>
    <t>Савинов Владимир Павлович</t>
  </si>
  <si>
    <t>Севковский Валерий Геннадьевич</t>
  </si>
  <si>
    <t>14-33</t>
  </si>
  <si>
    <t>Логинова Елена Валериевна</t>
  </si>
  <si>
    <t>61-96</t>
  </si>
  <si>
    <t>Селиванов Виктор Иванович</t>
  </si>
  <si>
    <t>Словохотов Станислав Владимирович</t>
  </si>
  <si>
    <t>Смольнякова Валентина Ивановна</t>
  </si>
  <si>
    <t>60-94</t>
  </si>
  <si>
    <t>Соколов Игорь Витальевич</t>
  </si>
  <si>
    <t>Стерликова Галина Геннадьевна</t>
  </si>
  <si>
    <t>Ракитная</t>
  </si>
  <si>
    <t>1-26</t>
  </si>
  <si>
    <t>Сутягин Алексей Борисович</t>
  </si>
  <si>
    <t>9-28</t>
  </si>
  <si>
    <t>Терещенко Игорь Федорович</t>
  </si>
  <si>
    <t>ЧП + Жаворонковая</t>
  </si>
  <si>
    <t>Хальзов Иван Ильич</t>
  </si>
  <si>
    <t>49-85</t>
  </si>
  <si>
    <t>Червоткина Оксана Юрьевна</t>
  </si>
  <si>
    <t>ЧРК +  Вокзальная</t>
  </si>
  <si>
    <t>Шевченко Василий Петрович</t>
  </si>
  <si>
    <t>25-44</t>
  </si>
  <si>
    <t>Садовая 23</t>
  </si>
  <si>
    <t>предложение правления (за работу с сайтом Товарищества)</t>
  </si>
  <si>
    <t>Степневский Александр Алексеевич</t>
  </si>
  <si>
    <t>Рыбацкая 1</t>
  </si>
  <si>
    <t>предложение правления (за укрепление береговой зоны)</t>
  </si>
  <si>
    <t>ЧП - член правления</t>
  </si>
  <si>
    <t>ЧРК - член ревизионной комиссии</t>
  </si>
  <si>
    <t>Приложение №10 к приходно-расходной смете на 2021 год</t>
  </si>
  <si>
    <t>Голосова Ирина Анатольевна</t>
  </si>
  <si>
    <t xml:space="preserve"> Спортивная</t>
  </si>
  <si>
    <t>Благоустройство пляжей (за счет доп.доходов)</t>
  </si>
  <si>
    <t>Тарифы на 01.01.2021</t>
  </si>
  <si>
    <t>Таким образом:</t>
  </si>
  <si>
    <r>
      <t xml:space="preserve">На основании Приходно-расходной сметы СНТ "Раздолье-1" и Приложений №1-10  в 2021 году устанавливаются следующие взносы </t>
    </r>
    <r>
      <rPr>
        <b/>
        <sz val="10"/>
        <color indexed="8"/>
        <rFont val="Calibri"/>
        <family val="2"/>
      </rPr>
      <t>для Членов Товарищества</t>
    </r>
    <r>
      <rPr>
        <sz val="10"/>
        <color indexed="8"/>
        <rFont val="Calibri"/>
        <family val="2"/>
      </rPr>
      <t>:</t>
    </r>
  </si>
  <si>
    <r>
      <rPr>
        <b/>
        <sz val="10"/>
        <color indexed="8"/>
        <rFont val="Calibri"/>
        <family val="2"/>
      </rPr>
      <t>Членский взнос</t>
    </r>
    <r>
      <rPr>
        <sz val="10"/>
        <color indexed="8"/>
        <rFont val="Calibri"/>
        <family val="2"/>
      </rPr>
      <t xml:space="preserve"> за потребленную электроэнергию (в соответствиии с показаниями индивидуальных приборов учета)</t>
    </r>
  </si>
  <si>
    <r>
      <rPr>
        <b/>
        <sz val="10"/>
        <color indexed="8"/>
        <rFont val="Calibri"/>
        <family val="2"/>
      </rPr>
      <t xml:space="preserve">Членский взнос </t>
    </r>
    <r>
      <rPr>
        <sz val="10"/>
        <color indexed="8"/>
        <rFont val="Calibri"/>
        <family val="2"/>
      </rPr>
      <t xml:space="preserve"> на единицу площади земельного участка собственника</t>
    </r>
  </si>
  <si>
    <r>
      <rPr>
        <b/>
        <sz val="10"/>
        <color indexed="8"/>
        <rFont val="Calibri"/>
        <family val="2"/>
      </rPr>
      <t>Членский взнос</t>
    </r>
    <r>
      <rPr>
        <sz val="10"/>
        <color indexed="8"/>
        <rFont val="Calibri"/>
        <family val="2"/>
      </rPr>
      <t xml:space="preserve"> фиксированный, не зависит от размера участка</t>
    </r>
  </si>
  <si>
    <r>
      <rPr>
        <b/>
        <sz val="10"/>
        <color indexed="8"/>
        <rFont val="Calibri"/>
        <family val="2"/>
      </rPr>
      <t>Целевой взнос</t>
    </r>
    <r>
      <rPr>
        <sz val="10"/>
        <color indexed="8"/>
        <rFont val="Calibri"/>
        <family val="2"/>
      </rPr>
      <t xml:space="preserve"> (ремонт дороги) фиксированный, не зависит от размера участка</t>
    </r>
  </si>
  <si>
    <r>
      <t xml:space="preserve">Взнос для участка 100 м2 (1 сотка) (Спортивная 81А) </t>
    </r>
    <r>
      <rPr>
        <b/>
        <sz val="10"/>
        <color indexed="8"/>
        <rFont val="Calibri"/>
        <family val="2"/>
      </rPr>
      <t>7800</t>
    </r>
    <r>
      <rPr>
        <sz val="10"/>
        <color indexed="8"/>
        <rFont val="Calibri"/>
        <family val="2"/>
      </rPr>
      <t xml:space="preserve"> руб. : 600м *100 м (в рублях)</t>
    </r>
  </si>
  <si>
    <r>
      <rPr>
        <b/>
        <sz val="10"/>
        <color indexed="8"/>
        <rFont val="Calibri"/>
        <family val="2"/>
      </rPr>
      <t xml:space="preserve">Плата </t>
    </r>
    <r>
      <rPr>
        <sz val="10"/>
        <color indexed="8"/>
        <rFont val="Calibri"/>
        <family val="2"/>
      </rPr>
      <t xml:space="preserve"> на единицу площади земельного участка собственника</t>
    </r>
  </si>
  <si>
    <r>
      <t xml:space="preserve">Причины отклонений Платы (не членов Товарищества) от Взносов членов Товарищества в большую сторону, необходимость оплачивать налог с доходов Товарищества. В случае с СНТ "Раздолье-1" это налог по УСНО 6% от доходов. Взносы (доходы) от членов Товарищества данным налогом не облагаются (п.1ч.2ст.251 НК РФ), то есть такая </t>
    </r>
    <r>
      <rPr>
        <b/>
        <sz val="10"/>
        <color indexed="8"/>
        <rFont val="Calibri"/>
        <family val="2"/>
      </rPr>
      <t xml:space="preserve">льгота государством установлена только для членов товарищества. </t>
    </r>
    <r>
      <rPr>
        <sz val="10"/>
        <color indexed="8"/>
        <rFont val="Calibri"/>
        <family val="2"/>
      </rPr>
      <t xml:space="preserve"> Плата рассчитывается по формуле  Взнос члена товарищества х 106,40 / 100 = Плата не членов товарищества 7 982 - 6% = 7 501 рубль</t>
    </r>
  </si>
  <si>
    <t>Борщан Нина Ильинична</t>
  </si>
  <si>
    <t>16-35</t>
  </si>
  <si>
    <t>Роза ветров</t>
  </si>
  <si>
    <t>61-92</t>
  </si>
  <si>
    <t>Льготы уполномоченным, членам правления  и РК СНТ "Раздолье-1" в 2021 году (за работу в 2020)</t>
  </si>
  <si>
    <r>
      <t xml:space="preserve">На основании  Приходно-расходной сметы СНТ "Раздолье-1" и Приложений №1-10 в 2021 году устанавливается Плата  для </t>
    </r>
    <r>
      <rPr>
        <b/>
        <sz val="11"/>
        <color indexed="8"/>
        <rFont val="Calibri"/>
        <family val="2"/>
      </rPr>
      <t>не членов</t>
    </r>
    <r>
      <rPr>
        <sz val="10"/>
        <color indexed="8"/>
        <rFont val="Calibri"/>
        <family val="2"/>
      </rPr>
      <t xml:space="preserve"> Товарищества (лиц указанных в части 1 статьи 5 Федерального закона №217-ФЗ от 29 июля 2017 года:</t>
    </r>
  </si>
  <si>
    <r>
      <t xml:space="preserve">На основании Приходно-расходной сметы СНТ "Раздолье-1" взносы должны быть </t>
    </r>
    <r>
      <rPr>
        <b/>
        <sz val="12"/>
        <rFont val="Calibri"/>
        <family val="2"/>
      </rPr>
      <t>8470</t>
    </r>
    <r>
      <rPr>
        <sz val="10"/>
        <color indexed="8"/>
        <rFont val="Calibri"/>
        <family val="2"/>
      </rPr>
      <t xml:space="preserve"> рублей. Но учитывая остатки денежных средств на рассчетном счете Товарищества и Резервный фонд Товарищества, правление предлагает установить сумму взноса за стандартный участок 7 800 рублей.</t>
    </r>
  </si>
  <si>
    <t>Итого льгот  Смета 2021</t>
  </si>
  <si>
    <t>протокол заседания правления № 44 от 10 февраля 2021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</si>
</sst>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_р_._-;\-* #,##0_р_._-;_-* &quot;-&quot;??_р_._-;_-@_-"/>
    <numFmt numFmtId="181" formatCode="_-* #,##0.0_р_._-;\-* #,##0.0_р_._-;_-* &quot;-&quot;??_р_._-;_-@_-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_р_._-;\-* #,##0.00_р_._-;_-* \-??_р_._-;_-@_-"/>
    <numFmt numFmtId="191" formatCode="_-* #,##0_р_._-;\-* #,##0_р_._-;_-* \-??_р_._-;_-@_-"/>
    <numFmt numFmtId="192" formatCode="0.000000"/>
    <numFmt numFmtId="193" formatCode="#,##0_ ;\-#,##0\ "/>
    <numFmt numFmtId="194" formatCode="[$-FC19]d\ mmmm\ yyyy\ &quot;г.&quot;"/>
    <numFmt numFmtId="195" formatCode="0.0000000"/>
    <numFmt numFmtId="196" formatCode="_-* #,##0.0\ _₽_-;\-* #,##0.0\ _₽_-;_-* &quot;-&quot;??\ _₽_-;_-@_-"/>
    <numFmt numFmtId="197" formatCode="_-* #,##0\ _₽_-;\-* #,##0\ _₽_-;_-* &quot;-&quot;??\ _₽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\ _р_._-;\-* #,##0.00\ _р_._-;_-* &quot;-&quot;??\ 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i/>
      <sz val="9"/>
      <color indexed="16"/>
      <name val="Times New Roman"/>
      <family val="1"/>
    </font>
    <font>
      <i/>
      <sz val="11"/>
      <color indexed="8"/>
      <name val="Calibri"/>
      <family val="2"/>
    </font>
    <font>
      <sz val="10"/>
      <name val="Arial Cyr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i/>
      <sz val="11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4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180" fontId="1" fillId="0" borderId="10" xfId="6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1" fillId="0" borderId="11" xfId="60" applyNumberFormat="1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12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80" fontId="10" fillId="0" borderId="0" xfId="60" applyNumberFormat="1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>
      <alignment/>
    </xf>
    <xf numFmtId="180" fontId="13" fillId="0" borderId="11" xfId="60" applyNumberFormat="1" applyFont="1" applyFill="1" applyBorder="1" applyAlignment="1">
      <alignment/>
    </xf>
    <xf numFmtId="191" fontId="14" fillId="0" borderId="10" xfId="60" applyNumberFormat="1" applyFont="1" applyBorder="1" applyAlignment="1">
      <alignment/>
    </xf>
    <xf numFmtId="0" fontId="0" fillId="0" borderId="12" xfId="0" applyBorder="1" applyAlignment="1">
      <alignment/>
    </xf>
    <xf numFmtId="190" fontId="14" fillId="0" borderId="0" xfId="60" applyNumberFormat="1" applyFont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180" fontId="2" fillId="0" borderId="10" xfId="60" applyNumberFormat="1" applyFont="1" applyFill="1" applyBorder="1" applyAlignment="1">
      <alignment/>
    </xf>
    <xf numFmtId="190" fontId="14" fillId="0" borderId="0" xfId="60" applyNumberFormat="1" applyFon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91" fontId="6" fillId="0" borderId="16" xfId="0" applyNumberFormat="1" applyFont="1" applyBorder="1" applyAlignment="1">
      <alignment/>
    </xf>
    <xf numFmtId="191" fontId="6" fillId="0" borderId="17" xfId="0" applyNumberFormat="1" applyFont="1" applyBorder="1" applyAlignment="1">
      <alignment/>
    </xf>
    <xf numFmtId="191" fontId="14" fillId="0" borderId="10" xfId="6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8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14" fontId="0" fillId="0" borderId="13" xfId="0" applyNumberForma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80" fontId="0" fillId="0" borderId="0" xfId="0" applyNumberFormat="1" applyFont="1" applyFill="1" applyAlignment="1">
      <alignment/>
    </xf>
    <xf numFmtId="14" fontId="13" fillId="0" borderId="18" xfId="0" applyNumberFormat="1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14" fontId="0" fillId="0" borderId="22" xfId="0" applyNumberFormat="1" applyFill="1" applyBorder="1" applyAlignment="1">
      <alignment/>
    </xf>
    <xf numFmtId="180" fontId="13" fillId="0" borderId="23" xfId="60" applyNumberFormat="1" applyFont="1" applyFill="1" applyBorder="1" applyAlignment="1">
      <alignment/>
    </xf>
    <xf numFmtId="0" fontId="13" fillId="0" borderId="24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23" xfId="0" applyFill="1" applyBorder="1" applyAlignment="1">
      <alignment wrapText="1"/>
    </xf>
    <xf numFmtId="191" fontId="14" fillId="0" borderId="24" xfId="60" applyNumberFormat="1" applyFont="1" applyBorder="1" applyAlignment="1">
      <alignment/>
    </xf>
    <xf numFmtId="0" fontId="13" fillId="0" borderId="10" xfId="0" applyFont="1" applyFill="1" applyBorder="1" applyAlignment="1">
      <alignment wrapText="1"/>
    </xf>
    <xf numFmtId="180" fontId="2" fillId="0" borderId="25" xfId="6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9" fontId="6" fillId="0" borderId="26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2" fontId="0" fillId="0" borderId="0" xfId="0" applyNumberFormat="1" applyFont="1" applyFill="1" applyAlignment="1">
      <alignment/>
    </xf>
    <xf numFmtId="0" fontId="17" fillId="0" borderId="2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8" fillId="0" borderId="25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80" fontId="1" fillId="0" borderId="21" xfId="60" applyNumberFormat="1" applyFont="1" applyFill="1" applyBorder="1" applyAlignment="1">
      <alignment/>
    </xf>
    <xf numFmtId="0" fontId="13" fillId="0" borderId="24" xfId="0" applyFont="1" applyFill="1" applyBorder="1" applyAlignment="1">
      <alignment wrapText="1"/>
    </xf>
    <xf numFmtId="0" fontId="2" fillId="0" borderId="29" xfId="0" applyFont="1" applyFill="1" applyBorder="1" applyAlignment="1">
      <alignment/>
    </xf>
    <xf numFmtId="180" fontId="1" fillId="0" borderId="29" xfId="6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17" fillId="0" borderId="20" xfId="0" applyFont="1" applyFill="1" applyBorder="1" applyAlignment="1">
      <alignment wrapText="1"/>
    </xf>
    <xf numFmtId="180" fontId="1" fillId="0" borderId="0" xfId="60" applyNumberFormat="1" applyFont="1" applyFill="1" applyBorder="1" applyAlignment="1">
      <alignment/>
    </xf>
    <xf numFmtId="14" fontId="13" fillId="0" borderId="22" xfId="0" applyNumberFormat="1" applyFont="1" applyFill="1" applyBorder="1" applyAlignment="1">
      <alignment/>
    </xf>
    <xf numFmtId="49" fontId="6" fillId="0" borderId="31" xfId="0" applyNumberFormat="1" applyFont="1" applyFill="1" applyBorder="1" applyAlignment="1">
      <alignment/>
    </xf>
    <xf numFmtId="0" fontId="2" fillId="0" borderId="29" xfId="0" applyFont="1" applyFill="1" applyBorder="1" applyAlignment="1">
      <alignment wrapText="1"/>
    </xf>
    <xf numFmtId="180" fontId="2" fillId="0" borderId="29" xfId="0" applyNumberFormat="1" applyFont="1" applyFill="1" applyBorder="1" applyAlignment="1">
      <alignment/>
    </xf>
    <xf numFmtId="0" fontId="1" fillId="0" borderId="3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/>
    </xf>
    <xf numFmtId="193" fontId="1" fillId="0" borderId="11" xfId="60" applyNumberFormat="1" applyFont="1" applyFill="1" applyBorder="1" applyAlignment="1">
      <alignment horizontal="center"/>
    </xf>
    <xf numFmtId="193" fontId="1" fillId="0" borderId="10" xfId="60" applyNumberFormat="1" applyFont="1" applyFill="1" applyBorder="1" applyAlignment="1">
      <alignment horizontal="center"/>
    </xf>
    <xf numFmtId="180" fontId="1" fillId="0" borderId="25" xfId="60" applyNumberFormat="1" applyFont="1" applyFill="1" applyBorder="1" applyAlignment="1">
      <alignment horizontal="center"/>
    </xf>
    <xf numFmtId="180" fontId="6" fillId="0" borderId="10" xfId="60" applyNumberFormat="1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31" xfId="0" applyNumberFormat="1" applyFont="1" applyFill="1" applyBorder="1" applyAlignment="1">
      <alignment/>
    </xf>
    <xf numFmtId="14" fontId="0" fillId="0" borderId="18" xfId="0" applyNumberFormat="1" applyFill="1" applyBorder="1" applyAlignment="1">
      <alignment/>
    </xf>
    <xf numFmtId="180" fontId="13" fillId="0" borderId="32" xfId="6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/>
    </xf>
    <xf numFmtId="180" fontId="13" fillId="0" borderId="25" xfId="60" applyNumberFormat="1" applyFont="1" applyFill="1" applyBorder="1" applyAlignment="1">
      <alignment/>
    </xf>
    <xf numFmtId="180" fontId="13" fillId="0" borderId="10" xfId="60" applyNumberFormat="1" applyFont="1" applyFill="1" applyBorder="1" applyAlignment="1">
      <alignment/>
    </xf>
    <xf numFmtId="14" fontId="13" fillId="0" borderId="13" xfId="0" applyNumberFormat="1" applyFont="1" applyFill="1" applyBorder="1" applyAlignment="1">
      <alignment/>
    </xf>
    <xf numFmtId="180" fontId="0" fillId="0" borderId="10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4" xfId="0" applyFill="1" applyBorder="1" applyAlignment="1">
      <alignment/>
    </xf>
    <xf numFmtId="180" fontId="0" fillId="0" borderId="24" xfId="0" applyNumberFormat="1" applyBorder="1" applyAlignment="1">
      <alignment/>
    </xf>
    <xf numFmtId="0" fontId="2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180" fontId="0" fillId="0" borderId="25" xfId="0" applyNumberFormat="1" applyBorder="1" applyAlignment="1">
      <alignment/>
    </xf>
    <xf numFmtId="180" fontId="21" fillId="0" borderId="25" xfId="0" applyNumberFormat="1" applyFont="1" applyBorder="1" applyAlignment="1">
      <alignment/>
    </xf>
    <xf numFmtId="49" fontId="6" fillId="0" borderId="18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180" fontId="0" fillId="0" borderId="0" xfId="0" applyNumberFormat="1" applyBorder="1" applyAlignment="1">
      <alignment/>
    </xf>
    <xf numFmtId="180" fontId="21" fillId="0" borderId="0" xfId="0" applyNumberFormat="1" applyFont="1" applyBorder="1" applyAlignment="1">
      <alignment/>
    </xf>
    <xf numFmtId="180" fontId="1" fillId="0" borderId="19" xfId="60" applyNumberFormat="1" applyFont="1" applyBorder="1" applyAlignment="1">
      <alignment/>
    </xf>
    <xf numFmtId="180" fontId="2" fillId="0" borderId="33" xfId="0" applyNumberFormat="1" applyFont="1" applyBorder="1" applyAlignment="1">
      <alignment/>
    </xf>
    <xf numFmtId="0" fontId="2" fillId="0" borderId="29" xfId="0" applyFont="1" applyBorder="1" applyAlignment="1">
      <alignment horizontal="right"/>
    </xf>
    <xf numFmtId="180" fontId="0" fillId="0" borderId="29" xfId="0" applyNumberFormat="1" applyBorder="1" applyAlignment="1">
      <alignment/>
    </xf>
    <xf numFmtId="0" fontId="0" fillId="0" borderId="34" xfId="0" applyFill="1" applyBorder="1" applyAlignment="1">
      <alignment/>
    </xf>
    <xf numFmtId="191" fontId="14" fillId="0" borderId="34" xfId="60" applyNumberFormat="1" applyFont="1" applyBorder="1" applyAlignment="1">
      <alignment/>
    </xf>
    <xf numFmtId="180" fontId="1" fillId="0" borderId="34" xfId="60" applyNumberFormat="1" applyFont="1" applyBorder="1" applyAlignment="1">
      <alignment/>
    </xf>
    <xf numFmtId="180" fontId="0" fillId="0" borderId="34" xfId="0" applyNumberFormat="1" applyBorder="1" applyAlignment="1">
      <alignment/>
    </xf>
    <xf numFmtId="0" fontId="17" fillId="0" borderId="24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180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180" fontId="0" fillId="0" borderId="36" xfId="0" applyNumberFormat="1" applyBorder="1" applyAlignment="1">
      <alignment/>
    </xf>
    <xf numFmtId="180" fontId="0" fillId="0" borderId="37" xfId="0" applyNumberFormat="1" applyBorder="1" applyAlignment="1">
      <alignment/>
    </xf>
    <xf numFmtId="180" fontId="21" fillId="0" borderId="38" xfId="0" applyNumberFormat="1" applyFont="1" applyBorder="1" applyAlignment="1">
      <alignment/>
    </xf>
    <xf numFmtId="0" fontId="0" fillId="0" borderId="19" xfId="0" applyBorder="1" applyAlignment="1">
      <alignment/>
    </xf>
    <xf numFmtId="180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191" fontId="0" fillId="0" borderId="4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191" fontId="14" fillId="0" borderId="23" xfId="60" applyNumberFormat="1" applyFont="1" applyBorder="1" applyAlignment="1">
      <alignment/>
    </xf>
    <xf numFmtId="180" fontId="1" fillId="0" borderId="23" xfId="6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41" xfId="0" applyNumberFormat="1" applyBorder="1" applyAlignment="1">
      <alignment/>
    </xf>
    <xf numFmtId="0" fontId="0" fillId="0" borderId="26" xfId="0" applyBorder="1" applyAlignment="1">
      <alignment wrapText="1"/>
    </xf>
    <xf numFmtId="0" fontId="5" fillId="0" borderId="26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23" xfId="0" applyBorder="1" applyAlignment="1">
      <alignment/>
    </xf>
    <xf numFmtId="191" fontId="14" fillId="0" borderId="23" xfId="60" applyNumberFormat="1" applyFont="1" applyFill="1" applyBorder="1" applyAlignment="1">
      <alignment/>
    </xf>
    <xf numFmtId="191" fontId="0" fillId="0" borderId="23" xfId="0" applyNumberFormat="1" applyBorder="1" applyAlignment="1">
      <alignment/>
    </xf>
    <xf numFmtId="0" fontId="0" fillId="0" borderId="34" xfId="0" applyFill="1" applyBorder="1" applyAlignment="1">
      <alignment wrapText="1"/>
    </xf>
    <xf numFmtId="0" fontId="15" fillId="0" borderId="34" xfId="0" applyFont="1" applyFill="1" applyBorder="1" applyAlignment="1">
      <alignment wrapText="1"/>
    </xf>
    <xf numFmtId="0" fontId="2" fillId="0" borderId="31" xfId="0" applyFont="1" applyBorder="1" applyAlignment="1">
      <alignment/>
    </xf>
    <xf numFmtId="0" fontId="2" fillId="0" borderId="29" xfId="0" applyFont="1" applyBorder="1" applyAlignment="1">
      <alignment/>
    </xf>
    <xf numFmtId="180" fontId="2" fillId="0" borderId="30" xfId="0" applyNumberFormat="1" applyFont="1" applyBorder="1" applyAlignment="1">
      <alignment/>
    </xf>
    <xf numFmtId="191" fontId="14" fillId="0" borderId="11" xfId="60" applyNumberFormat="1" applyFont="1" applyFill="1" applyBorder="1" applyAlignment="1">
      <alignment/>
    </xf>
    <xf numFmtId="19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6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80" fontId="2" fillId="0" borderId="34" xfId="0" applyNumberFormat="1" applyFont="1" applyBorder="1" applyAlignment="1">
      <alignment/>
    </xf>
    <xf numFmtId="191" fontId="14" fillId="0" borderId="34" xfId="60" applyNumberFormat="1" applyFont="1" applyFill="1" applyBorder="1" applyAlignment="1">
      <alignment/>
    </xf>
    <xf numFmtId="180" fontId="1" fillId="0" borderId="21" xfId="60" applyNumberFormat="1" applyFont="1" applyBorder="1" applyAlignment="1">
      <alignment/>
    </xf>
    <xf numFmtId="0" fontId="17" fillId="0" borderId="0" xfId="0" applyFont="1" applyAlignment="1">
      <alignment wrapText="1"/>
    </xf>
    <xf numFmtId="0" fontId="15" fillId="0" borderId="23" xfId="0" applyFont="1" applyFill="1" applyBorder="1" applyAlignment="1">
      <alignment wrapText="1"/>
    </xf>
    <xf numFmtId="180" fontId="1" fillId="0" borderId="11" xfId="60" applyNumberFormat="1" applyFont="1" applyFill="1" applyBorder="1" applyAlignment="1">
      <alignment/>
    </xf>
    <xf numFmtId="180" fontId="1" fillId="0" borderId="23" xfId="60" applyNumberFormat="1" applyFont="1" applyFill="1" applyBorder="1" applyAlignment="1">
      <alignment/>
    </xf>
    <xf numFmtId="180" fontId="1" fillId="0" borderId="11" xfId="60" applyNumberFormat="1" applyFont="1" applyFill="1" applyBorder="1" applyAlignment="1">
      <alignment wrapText="1"/>
    </xf>
    <xf numFmtId="180" fontId="2" fillId="0" borderId="11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/>
    </xf>
    <xf numFmtId="180" fontId="15" fillId="0" borderId="10" xfId="0" applyNumberFormat="1" applyFont="1" applyFill="1" applyBorder="1" applyAlignment="1">
      <alignment wrapText="1"/>
    </xf>
    <xf numFmtId="180" fontId="15" fillId="0" borderId="10" xfId="0" applyNumberFormat="1" applyFont="1" applyFill="1" applyBorder="1" applyAlignment="1">
      <alignment/>
    </xf>
    <xf numFmtId="171" fontId="22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180" fontId="15" fillId="0" borderId="10" xfId="6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80" fontId="8" fillId="0" borderId="10" xfId="6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80" fontId="8" fillId="0" borderId="0" xfId="6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80" fontId="15" fillId="0" borderId="0" xfId="6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0" fillId="0" borderId="36" xfId="0" applyFont="1" applyFill="1" applyBorder="1" applyAlignment="1">
      <alignment/>
    </xf>
    <xf numFmtId="0" fontId="17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180" fontId="6" fillId="0" borderId="23" xfId="6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71" fontId="22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textRotation="180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17" fillId="0" borderId="43" xfId="0" applyFont="1" applyBorder="1" applyAlignment="1">
      <alignment wrapText="1"/>
    </xf>
    <xf numFmtId="180" fontId="15" fillId="0" borderId="0" xfId="0" applyNumberFormat="1" applyFont="1" applyFill="1" applyAlignment="1">
      <alignment/>
    </xf>
    <xf numFmtId="191" fontId="0" fillId="0" borderId="29" xfId="0" applyNumberFormat="1" applyBorder="1" applyAlignment="1">
      <alignment/>
    </xf>
    <xf numFmtId="0" fontId="19" fillId="0" borderId="29" xfId="0" applyFont="1" applyBorder="1" applyAlignment="1">
      <alignment/>
    </xf>
    <xf numFmtId="0" fontId="5" fillId="0" borderId="44" xfId="0" applyFont="1" applyFill="1" applyBorder="1" applyAlignment="1">
      <alignment horizontal="center"/>
    </xf>
    <xf numFmtId="180" fontId="63" fillId="0" borderId="23" xfId="0" applyNumberFormat="1" applyFont="1" applyBorder="1" applyAlignment="1">
      <alignment/>
    </xf>
    <xf numFmtId="180" fontId="63" fillId="0" borderId="41" xfId="0" applyNumberFormat="1" applyFont="1" applyBorder="1" applyAlignment="1">
      <alignment/>
    </xf>
    <xf numFmtId="180" fontId="63" fillId="0" borderId="29" xfId="0" applyNumberFormat="1" applyFont="1" applyBorder="1" applyAlignment="1">
      <alignment/>
    </xf>
    <xf numFmtId="180" fontId="63" fillId="0" borderId="38" xfId="0" applyNumberFormat="1" applyFont="1" applyBorder="1" applyAlignment="1">
      <alignment/>
    </xf>
    <xf numFmtId="180" fontId="63" fillId="0" borderId="17" xfId="0" applyNumberFormat="1" applyFont="1" applyBorder="1" applyAlignment="1">
      <alignment/>
    </xf>
    <xf numFmtId="180" fontId="64" fillId="0" borderId="45" xfId="0" applyNumberFormat="1" applyFont="1" applyBorder="1" applyAlignment="1">
      <alignment/>
    </xf>
    <xf numFmtId="180" fontId="64" fillId="0" borderId="46" xfId="0" applyNumberFormat="1" applyFont="1" applyBorder="1" applyAlignment="1">
      <alignment/>
    </xf>
    <xf numFmtId="180" fontId="64" fillId="0" borderId="47" xfId="0" applyNumberFormat="1" applyFont="1" applyBorder="1" applyAlignment="1">
      <alignment/>
    </xf>
    <xf numFmtId="180" fontId="64" fillId="0" borderId="0" xfId="0" applyNumberFormat="1" applyFont="1" applyBorder="1" applyAlignment="1">
      <alignment/>
    </xf>
    <xf numFmtId="180" fontId="63" fillId="0" borderId="0" xfId="0" applyNumberFormat="1" applyFont="1" applyBorder="1" applyAlignment="1">
      <alignment/>
    </xf>
    <xf numFmtId="180" fontId="64" fillId="0" borderId="44" xfId="0" applyNumberFormat="1" applyFont="1" applyBorder="1" applyAlignment="1">
      <alignment/>
    </xf>
    <xf numFmtId="191" fontId="0" fillId="0" borderId="25" xfId="0" applyNumberFormat="1" applyBorder="1" applyAlignment="1">
      <alignment/>
    </xf>
    <xf numFmtId="14" fontId="0" fillId="0" borderId="48" xfId="0" applyNumberFormat="1" applyFill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0" xfId="0" applyFill="1" applyAlignment="1">
      <alignment horizontal="right"/>
    </xf>
    <xf numFmtId="193" fontId="0" fillId="0" borderId="0" xfId="0" applyNumberFormat="1" applyFont="1" applyFill="1" applyBorder="1" applyAlignment="1">
      <alignment/>
    </xf>
    <xf numFmtId="0" fontId="17" fillId="0" borderId="36" xfId="0" applyFont="1" applyFill="1" applyBorder="1" applyAlignment="1">
      <alignment wrapText="1"/>
    </xf>
    <xf numFmtId="43" fontId="17" fillId="0" borderId="36" xfId="0" applyNumberFormat="1" applyFont="1" applyFill="1" applyBorder="1" applyAlignment="1">
      <alignment/>
    </xf>
    <xf numFmtId="171" fontId="17" fillId="0" borderId="36" xfId="0" applyNumberFormat="1" applyFont="1" applyFill="1" applyBorder="1" applyAlignment="1">
      <alignment/>
    </xf>
    <xf numFmtId="43" fontId="0" fillId="0" borderId="36" xfId="0" applyNumberFormat="1" applyFont="1" applyFill="1" applyBorder="1" applyAlignment="1">
      <alignment/>
    </xf>
    <xf numFmtId="180" fontId="17" fillId="0" borderId="40" xfId="0" applyNumberFormat="1" applyFont="1" applyFill="1" applyBorder="1" applyAlignment="1">
      <alignment/>
    </xf>
    <xf numFmtId="0" fontId="63" fillId="0" borderId="0" xfId="0" applyFont="1" applyFill="1" applyBorder="1" applyAlignment="1">
      <alignment horizontal="right" wrapText="1"/>
    </xf>
    <xf numFmtId="0" fontId="15" fillId="0" borderId="0" xfId="0" applyFont="1" applyFill="1" applyAlignment="1">
      <alignment/>
    </xf>
    <xf numFmtId="0" fontId="5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7" fillId="0" borderId="40" xfId="0" applyFont="1" applyFill="1" applyBorder="1" applyAlignment="1">
      <alignment wrapText="1"/>
    </xf>
    <xf numFmtId="197" fontId="15" fillId="0" borderId="40" xfId="0" applyNumberFormat="1" applyFont="1" applyFill="1" applyBorder="1" applyAlignment="1">
      <alignment/>
    </xf>
    <xf numFmtId="180" fontId="15" fillId="0" borderId="4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80" fontId="0" fillId="0" borderId="23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34" xfId="0" applyNumberFormat="1" applyFill="1" applyBorder="1" applyAlignment="1">
      <alignment/>
    </xf>
    <xf numFmtId="180" fontId="1" fillId="0" borderId="23" xfId="60" applyNumberFormat="1" applyFont="1" applyFill="1" applyBorder="1" applyAlignment="1">
      <alignment/>
    </xf>
    <xf numFmtId="180" fontId="1" fillId="0" borderId="32" xfId="60" applyNumberFormat="1" applyFont="1" applyFill="1" applyBorder="1" applyAlignment="1">
      <alignment/>
    </xf>
    <xf numFmtId="180" fontId="22" fillId="0" borderId="10" xfId="60" applyNumberFormat="1" applyFont="1" applyFill="1" applyBorder="1" applyAlignment="1">
      <alignment/>
    </xf>
    <xf numFmtId="180" fontId="18" fillId="0" borderId="24" xfId="60" applyNumberFormat="1" applyFont="1" applyFill="1" applyBorder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ill="1" applyBorder="1" applyAlignment="1">
      <alignment wrapText="1"/>
    </xf>
    <xf numFmtId="0" fontId="25" fillId="0" borderId="2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8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5" fillId="0" borderId="23" xfId="0" applyFont="1" applyFill="1" applyBorder="1" applyAlignment="1">
      <alignment wrapText="1"/>
    </xf>
    <xf numFmtId="49" fontId="0" fillId="0" borderId="23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34" xfId="0" applyFont="1" applyFill="1" applyBorder="1" applyAlignment="1">
      <alignment wrapText="1"/>
    </xf>
    <xf numFmtId="0" fontId="0" fillId="0" borderId="33" xfId="0" applyBorder="1" applyAlignment="1">
      <alignment/>
    </xf>
    <xf numFmtId="0" fontId="2" fillId="0" borderId="42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0" xfId="0" applyFont="1" applyBorder="1" applyAlignment="1">
      <alignment/>
    </xf>
    <xf numFmtId="197" fontId="2" fillId="0" borderId="0" xfId="60" applyNumberFormat="1" applyFont="1" applyAlignment="1">
      <alignment/>
    </xf>
    <xf numFmtId="197" fontId="2" fillId="0" borderId="44" xfId="6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80" fontId="3" fillId="0" borderId="0" xfId="60" applyNumberFormat="1" applyFont="1" applyFill="1" applyBorder="1" applyAlignment="1">
      <alignment horizontal="left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5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5" fillId="0" borderId="0" xfId="0" applyFont="1" applyAlignment="1">
      <alignment horizontal="right"/>
    </xf>
    <xf numFmtId="0" fontId="8" fillId="0" borderId="51" xfId="0" applyFont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65" fillId="0" borderId="2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4" fillId="0" borderId="0" xfId="0" applyFont="1" applyBorder="1" applyAlignment="1">
      <alignment horizontal="right"/>
    </xf>
    <xf numFmtId="0" fontId="65" fillId="0" borderId="21" xfId="0" applyFont="1" applyFill="1" applyBorder="1" applyAlignment="1">
      <alignment/>
    </xf>
    <xf numFmtId="0" fontId="8" fillId="0" borderId="42" xfId="0" applyFont="1" applyBorder="1" applyAlignment="1">
      <alignment horizontal="center"/>
    </xf>
    <xf numFmtId="0" fontId="8" fillId="0" borderId="51" xfId="0" applyFont="1" applyBorder="1" applyAlignment="1">
      <alignment/>
    </xf>
    <xf numFmtId="0" fontId="65" fillId="0" borderId="52" xfId="0" applyFont="1" applyBorder="1" applyAlignment="1">
      <alignment/>
    </xf>
    <xf numFmtId="180" fontId="8" fillId="0" borderId="53" xfId="60" applyNumberFormat="1" applyFont="1" applyBorder="1" applyAlignment="1">
      <alignment/>
    </xf>
    <xf numFmtId="0" fontId="65" fillId="0" borderId="0" xfId="0" applyFont="1" applyAlignment="1">
      <alignment horizontal="right"/>
    </xf>
    <xf numFmtId="180" fontId="15" fillId="0" borderId="10" xfId="0" applyNumberFormat="1" applyFont="1" applyBorder="1" applyAlignment="1">
      <alignment/>
    </xf>
    <xf numFmtId="0" fontId="65" fillId="0" borderId="0" xfId="0" applyFont="1" applyFill="1" applyBorder="1" applyAlignment="1">
      <alignment wrapText="1"/>
    </xf>
    <xf numFmtId="0" fontId="65" fillId="0" borderId="0" xfId="0" applyFont="1" applyAlignment="1">
      <alignment wrapText="1"/>
    </xf>
    <xf numFmtId="2" fontId="65" fillId="0" borderId="42" xfId="0" applyNumberFormat="1" applyFont="1" applyBorder="1" applyAlignment="1">
      <alignment horizontal="center"/>
    </xf>
    <xf numFmtId="1" fontId="65" fillId="0" borderId="21" xfId="0" applyNumberFormat="1" applyFont="1" applyBorder="1" applyAlignment="1">
      <alignment/>
    </xf>
    <xf numFmtId="1" fontId="65" fillId="0" borderId="42" xfId="0" applyNumberFormat="1" applyFont="1" applyBorder="1" applyAlignment="1">
      <alignment horizontal="center"/>
    </xf>
    <xf numFmtId="0" fontId="65" fillId="0" borderId="0" xfId="0" applyFont="1" applyAlignment="1">
      <alignment/>
    </xf>
    <xf numFmtId="180" fontId="8" fillId="0" borderId="0" xfId="60" applyNumberFormat="1" applyFont="1" applyAlignment="1">
      <alignment/>
    </xf>
    <xf numFmtId="180" fontId="64" fillId="0" borderId="0" xfId="0" applyNumberFormat="1" applyFont="1" applyAlignment="1">
      <alignment/>
    </xf>
    <xf numFmtId="0" fontId="65" fillId="0" borderId="36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97" fontId="2" fillId="0" borderId="0" xfId="60" applyNumberFormat="1" applyFont="1" applyBorder="1" applyAlignment="1">
      <alignment/>
    </xf>
    <xf numFmtId="180" fontId="24" fillId="0" borderId="10" xfId="6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1" xfId="0" applyFill="1" applyBorder="1" applyAlignment="1">
      <alignment wrapText="1"/>
    </xf>
    <xf numFmtId="0" fontId="65" fillId="0" borderId="11" xfId="0" applyFont="1" applyFill="1" applyBorder="1" applyAlignment="1">
      <alignment wrapText="1"/>
    </xf>
    <xf numFmtId="0" fontId="65" fillId="0" borderId="11" xfId="0" applyFont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33" xfId="0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0" fillId="0" borderId="54" xfId="0" applyBorder="1" applyAlignment="1">
      <alignment/>
    </xf>
    <xf numFmtId="0" fontId="17" fillId="0" borderId="55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4" xfId="0" applyBorder="1" applyAlignment="1">
      <alignment wrapText="1"/>
    </xf>
    <xf numFmtId="0" fontId="17" fillId="0" borderId="54" xfId="0" applyFont="1" applyFill="1" applyBorder="1" applyAlignment="1">
      <alignment wrapText="1"/>
    </xf>
    <xf numFmtId="0" fontId="17" fillId="0" borderId="43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17" fillId="0" borderId="56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24" xfId="0" applyFont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34" xfId="0" applyBorder="1" applyAlignment="1">
      <alignment/>
    </xf>
    <xf numFmtId="0" fontId="0" fillId="0" borderId="20" xfId="0" applyBorder="1" applyAlignment="1">
      <alignment wrapText="1"/>
    </xf>
    <xf numFmtId="0" fontId="2" fillId="0" borderId="34" xfId="0" applyFont="1" applyBorder="1" applyAlignment="1">
      <alignment wrapText="1"/>
    </xf>
    <xf numFmtId="0" fontId="0" fillId="0" borderId="34" xfId="0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180" fontId="1" fillId="0" borderId="57" xfId="60" applyNumberFormat="1" applyFont="1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5" fillId="0" borderId="61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63" fillId="0" borderId="62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63" xfId="0" applyFont="1" applyFill="1" applyBorder="1" applyAlignment="1">
      <alignment horizontal="left" wrapText="1"/>
    </xf>
    <xf numFmtId="0" fontId="2" fillId="0" borderId="63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80" fontId="15" fillId="0" borderId="59" xfId="60" applyNumberFormat="1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0" fillId="0" borderId="59" xfId="0" applyBorder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wrapText="1"/>
    </xf>
    <xf numFmtId="0" fontId="15" fillId="0" borderId="63" xfId="0" applyFont="1" applyFill="1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49" fontId="5" fillId="0" borderId="37" xfId="0" applyNumberFormat="1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64" xfId="0" applyFont="1" applyBorder="1" applyAlignment="1">
      <alignment wrapText="1"/>
    </xf>
    <xf numFmtId="49" fontId="17" fillId="0" borderId="39" xfId="0" applyNumberFormat="1" applyFont="1" applyBorder="1" applyAlignment="1">
      <alignment wrapText="1"/>
    </xf>
    <xf numFmtId="0" fontId="17" fillId="0" borderId="65" xfId="0" applyFont="1" applyBorder="1" applyAlignment="1">
      <alignment wrapText="1"/>
    </xf>
    <xf numFmtId="0" fontId="17" fillId="0" borderId="66" xfId="0" applyFont="1" applyBorder="1" applyAlignment="1">
      <alignment wrapText="1"/>
    </xf>
    <xf numFmtId="0" fontId="2" fillId="0" borderId="26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65" fillId="0" borderId="63" xfId="0" applyFont="1" applyBorder="1" applyAlignment="1">
      <alignment wrapText="1"/>
    </xf>
    <xf numFmtId="0" fontId="65" fillId="0" borderId="0" xfId="0" applyFont="1" applyBorder="1" applyAlignment="1">
      <alignment wrapText="1"/>
    </xf>
    <xf numFmtId="0" fontId="65" fillId="0" borderId="36" xfId="0" applyFont="1" applyBorder="1" applyAlignment="1">
      <alignment wrapText="1"/>
    </xf>
    <xf numFmtId="0" fontId="65" fillId="0" borderId="0" xfId="0" applyFont="1" applyFill="1" applyBorder="1" applyAlignment="1">
      <alignment wrapText="1"/>
    </xf>
    <xf numFmtId="0" fontId="65" fillId="0" borderId="0" xfId="0" applyFont="1" applyAlignment="1">
      <alignment wrapText="1"/>
    </xf>
    <xf numFmtId="0" fontId="15" fillId="0" borderId="36" xfId="0" applyFont="1" applyBorder="1" applyAlignment="1">
      <alignment wrapText="1"/>
    </xf>
    <xf numFmtId="0" fontId="65" fillId="0" borderId="36" xfId="0" applyFont="1" applyBorder="1" applyAlignment="1">
      <alignment/>
    </xf>
    <xf numFmtId="0" fontId="15" fillId="0" borderId="37" xfId="0" applyFont="1" applyBorder="1" applyAlignment="1">
      <alignment wrapText="1"/>
    </xf>
    <xf numFmtId="0" fontId="65" fillId="0" borderId="64" xfId="0" applyFont="1" applyBorder="1" applyAlignment="1">
      <alignment/>
    </xf>
    <xf numFmtId="0" fontId="64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4.57421875" style="0" customWidth="1"/>
    <col min="2" max="2" width="19.140625" style="0" customWidth="1"/>
    <col min="3" max="3" width="22.140625" style="0" customWidth="1"/>
    <col min="4" max="4" width="13.00390625" style="0" customWidth="1"/>
    <col min="5" max="5" width="9.57421875" style="0" customWidth="1"/>
    <col min="6" max="6" width="10.8515625" style="0" customWidth="1"/>
    <col min="7" max="7" width="11.7109375" style="0" customWidth="1"/>
    <col min="8" max="8" width="9.28125" style="0" customWidth="1"/>
    <col min="9" max="9" width="12.57421875" style="0" customWidth="1"/>
    <col min="10" max="10" width="10.57421875" style="0" customWidth="1"/>
    <col min="11" max="11" width="8.00390625" style="0" customWidth="1"/>
    <col min="12" max="12" width="10.8515625" style="0" customWidth="1"/>
    <col min="13" max="13" width="14.57421875" style="0" customWidth="1"/>
  </cols>
  <sheetData>
    <row r="1" spans="1:13" ht="24" customHeight="1">
      <c r="A1" s="327" t="s">
        <v>270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15.75" thickBot="1">
      <c r="A2" s="328" t="s">
        <v>295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ht="42" customHeight="1">
      <c r="A3" s="329" t="s">
        <v>64</v>
      </c>
      <c r="B3" s="331" t="s">
        <v>63</v>
      </c>
      <c r="C3" s="331" t="s">
        <v>183</v>
      </c>
      <c r="D3" s="333" t="s">
        <v>297</v>
      </c>
      <c r="E3" s="331"/>
      <c r="F3" s="331"/>
      <c r="G3" s="333" t="s">
        <v>298</v>
      </c>
      <c r="H3" s="331"/>
      <c r="I3" s="331"/>
      <c r="J3" s="334" t="s">
        <v>299</v>
      </c>
      <c r="K3" s="335"/>
      <c r="L3" s="335"/>
      <c r="M3" s="336" t="s">
        <v>296</v>
      </c>
    </row>
    <row r="4" spans="1:13" ht="39" thickBot="1">
      <c r="A4" s="330"/>
      <c r="B4" s="332"/>
      <c r="C4" s="332"/>
      <c r="D4" s="158" t="s">
        <v>151</v>
      </c>
      <c r="E4" s="159" t="s">
        <v>71</v>
      </c>
      <c r="F4" s="158" t="s">
        <v>72</v>
      </c>
      <c r="G4" s="158" t="s">
        <v>151</v>
      </c>
      <c r="H4" s="159" t="s">
        <v>71</v>
      </c>
      <c r="I4" s="158" t="s">
        <v>72</v>
      </c>
      <c r="J4" s="158" t="s">
        <v>151</v>
      </c>
      <c r="K4" s="159" t="s">
        <v>71</v>
      </c>
      <c r="L4" s="158" t="s">
        <v>72</v>
      </c>
      <c r="M4" s="337"/>
    </row>
    <row r="5" spans="1:13" ht="51">
      <c r="A5" s="155">
        <v>1</v>
      </c>
      <c r="B5" s="58" t="s">
        <v>217</v>
      </c>
      <c r="C5" s="172" t="s">
        <v>190</v>
      </c>
      <c r="D5" s="156">
        <v>40100</v>
      </c>
      <c r="E5" s="156">
        <v>3</v>
      </c>
      <c r="F5" s="156">
        <f>D5*E5</f>
        <v>120300</v>
      </c>
      <c r="G5" s="143">
        <v>44200</v>
      </c>
      <c r="H5" s="143">
        <v>7</v>
      </c>
      <c r="I5" s="143">
        <f>G5*H5</f>
        <v>309400</v>
      </c>
      <c r="J5" s="143">
        <v>44200</v>
      </c>
      <c r="K5" s="143">
        <v>2</v>
      </c>
      <c r="L5" s="143">
        <f>J5*K5</f>
        <v>88400</v>
      </c>
      <c r="M5" s="157">
        <f aca="true" t="shared" si="0" ref="M5:M16">F5+I5+L5</f>
        <v>518100</v>
      </c>
    </row>
    <row r="6" spans="1:13" ht="14.25">
      <c r="A6" s="1">
        <f>A5+1</f>
        <v>2</v>
      </c>
      <c r="B6" s="2"/>
      <c r="C6" s="172"/>
      <c r="D6" s="24"/>
      <c r="E6" s="24"/>
      <c r="F6" s="24">
        <f>D6*E6</f>
        <v>0</v>
      </c>
      <c r="G6" s="13"/>
      <c r="H6" s="13"/>
      <c r="I6" s="13">
        <f aca="true" t="shared" si="1" ref="I6:I15">G6*H6</f>
        <v>0</v>
      </c>
      <c r="J6" s="13"/>
      <c r="K6" s="13"/>
      <c r="L6" s="13">
        <f>J6*K6</f>
        <v>0</v>
      </c>
      <c r="M6" s="140">
        <f t="shared" si="0"/>
        <v>0</v>
      </c>
    </row>
    <row r="7" spans="1:13" ht="27">
      <c r="A7" s="1">
        <f>A5+1</f>
        <v>2</v>
      </c>
      <c r="B7" s="2" t="s">
        <v>16</v>
      </c>
      <c r="C7" s="172" t="s">
        <v>186</v>
      </c>
      <c r="D7" s="24">
        <v>24000</v>
      </c>
      <c r="E7" s="24">
        <v>3</v>
      </c>
      <c r="F7" s="24">
        <f aca="true" t="shared" si="2" ref="F7:F15">D7*E7</f>
        <v>72000</v>
      </c>
      <c r="G7" s="24">
        <v>27000</v>
      </c>
      <c r="H7" s="24">
        <v>7</v>
      </c>
      <c r="I7" s="24">
        <f t="shared" si="1"/>
        <v>189000</v>
      </c>
      <c r="J7" s="24">
        <v>27000</v>
      </c>
      <c r="K7" s="13">
        <v>2</v>
      </c>
      <c r="L7" s="13">
        <f aca="true" t="shared" si="3" ref="L7:L15">J7*K7</f>
        <v>54000</v>
      </c>
      <c r="M7" s="140">
        <f t="shared" si="0"/>
        <v>315000</v>
      </c>
    </row>
    <row r="8" spans="1:13" ht="28.5">
      <c r="A8" s="1">
        <f aca="true" t="shared" si="4" ref="A8:A15">A7+1</f>
        <v>3</v>
      </c>
      <c r="B8" s="2" t="s">
        <v>271</v>
      </c>
      <c r="C8" s="172" t="s">
        <v>186</v>
      </c>
      <c r="D8" s="24">
        <v>18600</v>
      </c>
      <c r="E8" s="24">
        <v>3</v>
      </c>
      <c r="F8" s="24">
        <f t="shared" si="2"/>
        <v>55800</v>
      </c>
      <c r="G8" s="24">
        <v>25000</v>
      </c>
      <c r="H8" s="24">
        <v>7</v>
      </c>
      <c r="I8" s="24">
        <f t="shared" si="1"/>
        <v>175000</v>
      </c>
      <c r="J8" s="24">
        <v>25000</v>
      </c>
      <c r="K8" s="13">
        <v>2</v>
      </c>
      <c r="L8" s="13">
        <f t="shared" si="3"/>
        <v>50000</v>
      </c>
      <c r="M8" s="140">
        <f t="shared" si="0"/>
        <v>280800</v>
      </c>
    </row>
    <row r="9" spans="1:13" ht="41.25">
      <c r="A9" s="1">
        <f t="shared" si="4"/>
        <v>4</v>
      </c>
      <c r="B9" s="2" t="s">
        <v>17</v>
      </c>
      <c r="C9" s="172" t="s">
        <v>187</v>
      </c>
      <c r="D9" s="24">
        <v>0</v>
      </c>
      <c r="E9" s="24">
        <v>3</v>
      </c>
      <c r="F9" s="24">
        <f t="shared" si="2"/>
        <v>0</v>
      </c>
      <c r="G9" s="13">
        <v>21200</v>
      </c>
      <c r="H9" s="13">
        <v>7</v>
      </c>
      <c r="I9" s="13">
        <f t="shared" si="1"/>
        <v>148400</v>
      </c>
      <c r="J9" s="13"/>
      <c r="K9" s="13">
        <v>2</v>
      </c>
      <c r="L9" s="13">
        <f t="shared" si="3"/>
        <v>0</v>
      </c>
      <c r="M9" s="140">
        <f t="shared" si="0"/>
        <v>148400</v>
      </c>
    </row>
    <row r="10" spans="1:13" ht="41.25">
      <c r="A10" s="1">
        <f t="shared" si="4"/>
        <v>5</v>
      </c>
      <c r="B10" s="2" t="s">
        <v>149</v>
      </c>
      <c r="C10" s="172" t="s">
        <v>187</v>
      </c>
      <c r="D10" s="24">
        <v>0</v>
      </c>
      <c r="E10" s="24">
        <v>3</v>
      </c>
      <c r="F10" s="24">
        <f t="shared" si="2"/>
        <v>0</v>
      </c>
      <c r="G10" s="13">
        <v>19000</v>
      </c>
      <c r="H10" s="13">
        <v>7</v>
      </c>
      <c r="I10" s="13">
        <f t="shared" si="1"/>
        <v>133000</v>
      </c>
      <c r="J10" s="13"/>
      <c r="K10" s="13">
        <v>2</v>
      </c>
      <c r="L10" s="13">
        <f t="shared" si="3"/>
        <v>0</v>
      </c>
      <c r="M10" s="140">
        <f t="shared" si="0"/>
        <v>133000</v>
      </c>
    </row>
    <row r="11" spans="1:13" ht="54.75">
      <c r="A11" s="1">
        <f t="shared" si="4"/>
        <v>6</v>
      </c>
      <c r="B11" s="2" t="s">
        <v>188</v>
      </c>
      <c r="C11" s="172" t="s">
        <v>189</v>
      </c>
      <c r="D11" s="24">
        <v>0</v>
      </c>
      <c r="E11" s="24">
        <v>3</v>
      </c>
      <c r="F11" s="24">
        <f>D11*E11</f>
        <v>0</v>
      </c>
      <c r="G11" s="13">
        <v>9500</v>
      </c>
      <c r="H11" s="13">
        <v>7</v>
      </c>
      <c r="I11" s="13">
        <f>G11*H11</f>
        <v>66500</v>
      </c>
      <c r="J11" s="13"/>
      <c r="K11" s="13">
        <v>2</v>
      </c>
      <c r="L11" s="13">
        <f>J11*K11</f>
        <v>0</v>
      </c>
      <c r="M11" s="140">
        <f t="shared" si="0"/>
        <v>66500</v>
      </c>
    </row>
    <row r="12" spans="1:13" ht="27">
      <c r="A12" s="1">
        <f t="shared" si="4"/>
        <v>7</v>
      </c>
      <c r="B12" s="2" t="s">
        <v>18</v>
      </c>
      <c r="C12" s="172" t="s">
        <v>186</v>
      </c>
      <c r="D12" s="24">
        <v>16100</v>
      </c>
      <c r="E12" s="24">
        <v>3</v>
      </c>
      <c r="F12" s="24">
        <f t="shared" si="2"/>
        <v>48300</v>
      </c>
      <c r="G12" s="13">
        <v>22800</v>
      </c>
      <c r="H12" s="24">
        <v>6</v>
      </c>
      <c r="I12" s="13">
        <f t="shared" si="1"/>
        <v>136800</v>
      </c>
      <c r="J12" s="13">
        <v>17800</v>
      </c>
      <c r="K12" s="13">
        <v>3</v>
      </c>
      <c r="L12" s="13">
        <f t="shared" si="3"/>
        <v>53400</v>
      </c>
      <c r="M12" s="140">
        <f t="shared" si="0"/>
        <v>238500</v>
      </c>
    </row>
    <row r="13" spans="1:13" ht="41.25">
      <c r="A13" s="1">
        <f t="shared" si="4"/>
        <v>8</v>
      </c>
      <c r="B13" s="2" t="s">
        <v>20</v>
      </c>
      <c r="C13" s="172" t="s">
        <v>187</v>
      </c>
      <c r="D13" s="24"/>
      <c r="E13" s="24"/>
      <c r="F13" s="24">
        <f t="shared" si="2"/>
        <v>0</v>
      </c>
      <c r="G13" s="13">
        <v>19000</v>
      </c>
      <c r="H13" s="13">
        <v>7</v>
      </c>
      <c r="I13" s="13">
        <f t="shared" si="1"/>
        <v>133000</v>
      </c>
      <c r="J13" s="13"/>
      <c r="K13" s="13"/>
      <c r="L13" s="13">
        <f t="shared" si="3"/>
        <v>0</v>
      </c>
      <c r="M13" s="140">
        <f t="shared" si="0"/>
        <v>133000</v>
      </c>
    </row>
    <row r="14" spans="1:13" ht="41.25">
      <c r="A14" s="1">
        <f t="shared" si="4"/>
        <v>9</v>
      </c>
      <c r="B14" s="2" t="s">
        <v>70</v>
      </c>
      <c r="C14" s="172" t="s">
        <v>187</v>
      </c>
      <c r="D14" s="24"/>
      <c r="E14" s="24"/>
      <c r="F14" s="24">
        <f t="shared" si="2"/>
        <v>0</v>
      </c>
      <c r="G14" s="13">
        <v>19000</v>
      </c>
      <c r="H14" s="13">
        <v>7</v>
      </c>
      <c r="I14" s="13">
        <f t="shared" si="1"/>
        <v>133000</v>
      </c>
      <c r="J14" s="13"/>
      <c r="K14" s="13"/>
      <c r="L14" s="13">
        <f t="shared" si="3"/>
        <v>0</v>
      </c>
      <c r="M14" s="140">
        <f t="shared" si="0"/>
        <v>133000</v>
      </c>
    </row>
    <row r="15" spans="1:13" ht="41.25">
      <c r="A15" s="1">
        <f t="shared" si="4"/>
        <v>10</v>
      </c>
      <c r="B15" s="2" t="s">
        <v>19</v>
      </c>
      <c r="C15" s="172" t="s">
        <v>187</v>
      </c>
      <c r="D15" s="24"/>
      <c r="E15" s="24"/>
      <c r="F15" s="24">
        <f t="shared" si="2"/>
        <v>0</v>
      </c>
      <c r="G15" s="13">
        <v>20000</v>
      </c>
      <c r="H15" s="13">
        <v>7</v>
      </c>
      <c r="I15" s="13">
        <f t="shared" si="1"/>
        <v>140000</v>
      </c>
      <c r="J15" s="13"/>
      <c r="K15" s="13"/>
      <c r="L15" s="13">
        <f t="shared" si="3"/>
        <v>0</v>
      </c>
      <c r="M15" s="140">
        <f t="shared" si="0"/>
        <v>140000</v>
      </c>
    </row>
    <row r="16" spans="1:13" ht="15" thickBot="1">
      <c r="A16" s="20"/>
      <c r="B16" s="153" t="s">
        <v>65</v>
      </c>
      <c r="C16" s="154"/>
      <c r="D16" s="20"/>
      <c r="E16" s="21"/>
      <c r="F16" s="22">
        <f>SUM(F5:F15)</f>
        <v>296400</v>
      </c>
      <c r="G16" s="20"/>
      <c r="H16" s="21"/>
      <c r="I16" s="22">
        <f>SUM(I5:I15)</f>
        <v>1564100</v>
      </c>
      <c r="J16" s="20"/>
      <c r="K16" s="21"/>
      <c r="L16" s="22">
        <f>SUM(L5:L15)</f>
        <v>245800</v>
      </c>
      <c r="M16" s="23">
        <f t="shared" si="0"/>
        <v>2106300</v>
      </c>
    </row>
    <row r="17" spans="4:6" ht="14.25">
      <c r="D17" s="15"/>
      <c r="E17" s="15"/>
      <c r="F17" s="19"/>
    </row>
    <row r="18" spans="2:6" ht="15">
      <c r="B18" s="9"/>
      <c r="C18" s="9"/>
      <c r="D18" s="10"/>
      <c r="E18" s="8"/>
      <c r="F18" s="7"/>
    </row>
    <row r="24" ht="14.25">
      <c r="A24" s="211">
        <v>7</v>
      </c>
    </row>
  </sheetData>
  <sheetProtection/>
  <mergeCells count="9">
    <mergeCell ref="A1:M1"/>
    <mergeCell ref="A2:M2"/>
    <mergeCell ref="A3:A4"/>
    <mergeCell ref="B3:B4"/>
    <mergeCell ref="D3:F3"/>
    <mergeCell ref="C3:C4"/>
    <mergeCell ref="G3:I3"/>
    <mergeCell ref="J3:L3"/>
    <mergeCell ref="M3:M4"/>
  </mergeCells>
  <printOptions/>
  <pageMargins left="0" right="0" top="0.1968503937007874" bottom="0.1968503937007874" header="0.31496062992125984" footer="0.31496062992125984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3">
      <selection activeCell="E19" sqref="E19"/>
    </sheetView>
  </sheetViews>
  <sheetFormatPr defaultColWidth="9.140625" defaultRowHeight="15"/>
  <cols>
    <col min="1" max="1" width="4.57421875" style="0" customWidth="1"/>
    <col min="2" max="2" width="24.140625" style="0" customWidth="1"/>
    <col min="3" max="3" width="11.7109375" style="0" customWidth="1"/>
    <col min="4" max="4" width="14.00390625" style="0" customWidth="1"/>
    <col min="5" max="5" width="13.421875" style="0" customWidth="1"/>
    <col min="6" max="6" width="12.57421875" style="0" bestFit="1" customWidth="1"/>
    <col min="7" max="7" width="11.7109375" style="0" customWidth="1"/>
    <col min="8" max="8" width="15.140625" style="0" customWidth="1"/>
    <col min="9" max="9" width="13.7109375" style="0" customWidth="1"/>
    <col min="10" max="10" width="11.8515625" style="0" customWidth="1"/>
    <col min="11" max="11" width="11.28125" style="0" customWidth="1"/>
    <col min="13" max="13" width="9.140625" style="0" bestFit="1" customWidth="1"/>
  </cols>
  <sheetData>
    <row r="1" spans="1:8" ht="24" customHeight="1">
      <c r="A1" s="327" t="s">
        <v>272</v>
      </c>
      <c r="B1" s="327"/>
      <c r="C1" s="327"/>
      <c r="D1" s="348"/>
      <c r="E1" s="348"/>
      <c r="F1" s="348"/>
      <c r="G1" s="348"/>
      <c r="H1" s="348"/>
    </row>
    <row r="2" spans="1:11" ht="15.75" thickBot="1">
      <c r="A2" s="328" t="s">
        <v>165</v>
      </c>
      <c r="B2" s="328"/>
      <c r="C2" s="328"/>
      <c r="D2" s="349"/>
      <c r="E2" s="349"/>
      <c r="F2" s="349"/>
      <c r="G2" s="349"/>
      <c r="H2" s="349"/>
      <c r="I2" s="349"/>
      <c r="J2" s="349"/>
      <c r="K2" s="349"/>
    </row>
    <row r="3" spans="1:13" ht="30" customHeight="1">
      <c r="A3" s="329" t="s">
        <v>64</v>
      </c>
      <c r="B3" s="331" t="s">
        <v>63</v>
      </c>
      <c r="C3" s="333" t="s">
        <v>221</v>
      </c>
      <c r="D3" s="338" t="s">
        <v>152</v>
      </c>
      <c r="E3" s="353" t="s">
        <v>222</v>
      </c>
      <c r="F3" s="338" t="s">
        <v>175</v>
      </c>
      <c r="G3" s="338" t="s">
        <v>153</v>
      </c>
      <c r="H3" s="351" t="s">
        <v>185</v>
      </c>
      <c r="I3" s="343" t="s">
        <v>179</v>
      </c>
      <c r="J3" s="340" t="s">
        <v>180</v>
      </c>
      <c r="K3" s="338" t="s">
        <v>176</v>
      </c>
      <c r="L3" s="339"/>
      <c r="M3" s="346" t="s">
        <v>238</v>
      </c>
    </row>
    <row r="4" spans="1:13" ht="96.75" customHeight="1" thickBot="1">
      <c r="A4" s="350"/>
      <c r="B4" s="342"/>
      <c r="C4" s="342"/>
      <c r="D4" s="345"/>
      <c r="E4" s="345"/>
      <c r="F4" s="345"/>
      <c r="G4" s="345"/>
      <c r="H4" s="352"/>
      <c r="I4" s="344"/>
      <c r="J4" s="341"/>
      <c r="K4" s="129" t="s">
        <v>174</v>
      </c>
      <c r="L4" s="220" t="s">
        <v>171</v>
      </c>
      <c r="M4" s="347"/>
    </row>
    <row r="5" spans="1:13" ht="15.75" customHeight="1" thickBot="1">
      <c r="A5" s="147"/>
      <c r="B5" s="148" t="s">
        <v>6</v>
      </c>
      <c r="C5" s="149" t="s">
        <v>7</v>
      </c>
      <c r="D5" s="150" t="s">
        <v>8</v>
      </c>
      <c r="E5" s="149" t="s">
        <v>9</v>
      </c>
      <c r="F5" s="151" t="s">
        <v>10</v>
      </c>
      <c r="G5" s="151" t="s">
        <v>107</v>
      </c>
      <c r="H5" s="151" t="s">
        <v>158</v>
      </c>
      <c r="I5" s="152" t="s">
        <v>159</v>
      </c>
      <c r="J5" s="150" t="s">
        <v>160</v>
      </c>
      <c r="K5" s="150" t="s">
        <v>172</v>
      </c>
      <c r="L5" s="152" t="s">
        <v>173</v>
      </c>
      <c r="M5" s="224" t="s">
        <v>224</v>
      </c>
    </row>
    <row r="6" spans="1:13" ht="15">
      <c r="A6" s="141">
        <v>1</v>
      </c>
      <c r="B6" s="142" t="s">
        <v>17</v>
      </c>
      <c r="C6" s="143">
        <f>ШтУтв!M9</f>
        <v>148400</v>
      </c>
      <c r="D6" s="143">
        <f>ШтУтв!G9</f>
        <v>21200</v>
      </c>
      <c r="E6" s="13">
        <f>(C6/205.11)*16.33</f>
        <v>11814.987080103358</v>
      </c>
      <c r="F6" s="144">
        <f>C6+D6+E6</f>
        <v>181414.98708010337</v>
      </c>
      <c r="G6" s="145">
        <f>F6/100*30.7</f>
        <v>55694.401033591734</v>
      </c>
      <c r="H6" s="256">
        <f>1400</f>
        <v>1400</v>
      </c>
      <c r="I6" s="146">
        <f aca="true" t="shared" si="0" ref="I6:I12">F6+G6+H6</f>
        <v>238509.3881136951</v>
      </c>
      <c r="J6" s="146">
        <f>(F6-(F6*0.13)+H6)</f>
        <v>159231.03875968992</v>
      </c>
      <c r="K6" s="225">
        <f>I6/1245</f>
        <v>191.57380571381134</v>
      </c>
      <c r="L6" s="226">
        <f>J6/1245</f>
        <v>127.89641667444974</v>
      </c>
      <c r="M6" s="230">
        <f>J6/7</f>
        <v>22747.291251384275</v>
      </c>
    </row>
    <row r="7" spans="1:13" ht="15">
      <c r="A7" s="17">
        <f aca="true" t="shared" si="1" ref="A7:A12">A6+1</f>
        <v>2</v>
      </c>
      <c r="B7" s="11" t="s">
        <v>149</v>
      </c>
      <c r="C7" s="13">
        <f>ШтУтв!M10</f>
        <v>133000</v>
      </c>
      <c r="D7" s="13">
        <f>ШтУтв!G10</f>
        <v>19000</v>
      </c>
      <c r="E7" s="13">
        <f>(C7/205.11)*16.33</f>
        <v>10588.903515186972</v>
      </c>
      <c r="F7" s="144">
        <f aca="true" t="shared" si="2" ref="F7:F12">C7+D7+E7</f>
        <v>162588.90351518698</v>
      </c>
      <c r="G7" s="107">
        <f aca="true" t="shared" si="3" ref="G7:G12">F7/100*30.7</f>
        <v>49914.7933791624</v>
      </c>
      <c r="H7" s="24"/>
      <c r="I7" s="134">
        <f t="shared" si="0"/>
        <v>212503.69689434938</v>
      </c>
      <c r="J7" s="134">
        <f aca="true" t="shared" si="4" ref="J7:J12">(F7-(F7*0.13)+H7)</f>
        <v>141452.34605821266</v>
      </c>
      <c r="K7" s="225">
        <f aca="true" t="shared" si="5" ref="K7:K12">I7/1245</f>
        <v>170.6857003167465</v>
      </c>
      <c r="L7" s="226">
        <f aca="true" t="shared" si="6" ref="L7:L12">J7/1245</f>
        <v>113.61634221543186</v>
      </c>
      <c r="M7" s="230">
        <f aca="true" t="shared" si="7" ref="M7:M12">J7/7</f>
        <v>20207.478008316095</v>
      </c>
    </row>
    <row r="8" spans="1:13" ht="15">
      <c r="A8" s="17">
        <f t="shared" si="1"/>
        <v>3</v>
      </c>
      <c r="B8" s="11" t="s">
        <v>150</v>
      </c>
      <c r="C8" s="13">
        <f>ШтУтв!M11</f>
        <v>66500</v>
      </c>
      <c r="D8" s="13">
        <f>ШтУтв!G11</f>
        <v>9500</v>
      </c>
      <c r="E8" s="13">
        <f>(C8/205.11)*16.33</f>
        <v>5294.451757593486</v>
      </c>
      <c r="F8" s="144">
        <f t="shared" si="2"/>
        <v>81294.45175759349</v>
      </c>
      <c r="G8" s="107">
        <f t="shared" si="3"/>
        <v>24957.3966895812</v>
      </c>
      <c r="H8" s="24">
        <v>1400</v>
      </c>
      <c r="I8" s="134">
        <f t="shared" si="0"/>
        <v>107651.84844717469</v>
      </c>
      <c r="J8" s="134">
        <f t="shared" si="4"/>
        <v>72126.17302910633</v>
      </c>
      <c r="K8" s="225">
        <f t="shared" si="5"/>
        <v>86.46734815034112</v>
      </c>
      <c r="L8" s="226">
        <f t="shared" si="6"/>
        <v>57.9326690996838</v>
      </c>
      <c r="M8" s="230">
        <f t="shared" si="7"/>
        <v>10303.739004158047</v>
      </c>
    </row>
    <row r="9" spans="1:13" ht="15">
      <c r="A9" s="17">
        <f t="shared" si="1"/>
        <v>4</v>
      </c>
      <c r="B9" s="11" t="s">
        <v>18</v>
      </c>
      <c r="C9" s="13">
        <f>ШтУтв!M12</f>
        <v>238500</v>
      </c>
      <c r="D9" s="13">
        <v>17800</v>
      </c>
      <c r="E9" s="13">
        <f>C9/12</f>
        <v>19875</v>
      </c>
      <c r="F9" s="144">
        <f t="shared" si="2"/>
        <v>276175</v>
      </c>
      <c r="G9" s="107">
        <f t="shared" si="3"/>
        <v>84785.72499999999</v>
      </c>
      <c r="H9" s="257">
        <f>1400+5000</f>
        <v>6400</v>
      </c>
      <c r="I9" s="134">
        <f t="shared" si="0"/>
        <v>367360.725</v>
      </c>
      <c r="J9" s="134">
        <f t="shared" si="4"/>
        <v>246672.25</v>
      </c>
      <c r="K9" s="225">
        <f t="shared" si="5"/>
        <v>295.06885542168675</v>
      </c>
      <c r="L9" s="226">
        <f t="shared" si="6"/>
        <v>198.13032128514055</v>
      </c>
      <c r="M9" s="230">
        <f>J9/12</f>
        <v>20556.020833333332</v>
      </c>
    </row>
    <row r="10" spans="1:13" ht="15">
      <c r="A10" s="17">
        <f t="shared" si="1"/>
        <v>5</v>
      </c>
      <c r="B10" s="11" t="s">
        <v>20</v>
      </c>
      <c r="C10" s="13">
        <f>ШтУтв!M13</f>
        <v>133000</v>
      </c>
      <c r="D10" s="13">
        <f>ШтУтв!G13</f>
        <v>19000</v>
      </c>
      <c r="E10" s="13">
        <f>(C10/205.11)*16.33</f>
        <v>10588.903515186972</v>
      </c>
      <c r="F10" s="144">
        <f t="shared" si="2"/>
        <v>162588.90351518698</v>
      </c>
      <c r="G10" s="107">
        <f t="shared" si="3"/>
        <v>49914.7933791624</v>
      </c>
      <c r="H10" s="257">
        <v>1400</v>
      </c>
      <c r="I10" s="134">
        <f t="shared" si="0"/>
        <v>213903.69689434938</v>
      </c>
      <c r="J10" s="134">
        <f t="shared" si="4"/>
        <v>142852.34605821266</v>
      </c>
      <c r="K10" s="225">
        <f t="shared" si="5"/>
        <v>171.81019830871438</v>
      </c>
      <c r="L10" s="226">
        <f t="shared" si="6"/>
        <v>114.74084020739973</v>
      </c>
      <c r="M10" s="230">
        <f t="shared" si="7"/>
        <v>20407.478008316095</v>
      </c>
    </row>
    <row r="11" spans="1:13" ht="15">
      <c r="A11" s="17">
        <f t="shared" si="1"/>
        <v>6</v>
      </c>
      <c r="B11" s="11" t="s">
        <v>70</v>
      </c>
      <c r="C11" s="13">
        <f>ШтУтв!M14</f>
        <v>133000</v>
      </c>
      <c r="D11" s="13">
        <f>ШтУтв!G14</f>
        <v>19000</v>
      </c>
      <c r="E11" s="13">
        <f>(C11/205.11)*16.33</f>
        <v>10588.903515186972</v>
      </c>
      <c r="F11" s="144">
        <f t="shared" si="2"/>
        <v>162588.90351518698</v>
      </c>
      <c r="G11" s="107">
        <f t="shared" si="3"/>
        <v>49914.7933791624</v>
      </c>
      <c r="H11" s="257">
        <v>1400</v>
      </c>
      <c r="I11" s="134">
        <f t="shared" si="0"/>
        <v>213903.69689434938</v>
      </c>
      <c r="J11" s="134">
        <f t="shared" si="4"/>
        <v>142852.34605821266</v>
      </c>
      <c r="K11" s="225">
        <f t="shared" si="5"/>
        <v>171.81019830871438</v>
      </c>
      <c r="L11" s="226">
        <f t="shared" si="6"/>
        <v>114.74084020739973</v>
      </c>
      <c r="M11" s="230">
        <f t="shared" si="7"/>
        <v>20407.478008316095</v>
      </c>
    </row>
    <row r="12" spans="1:13" ht="15.75" thickBot="1">
      <c r="A12" s="14">
        <f t="shared" si="1"/>
        <v>7</v>
      </c>
      <c r="B12" s="125" t="s">
        <v>19</v>
      </c>
      <c r="C12" s="126">
        <f>ШтУтв!M15</f>
        <v>140000</v>
      </c>
      <c r="D12" s="126">
        <f>ШтУтв!G15</f>
        <v>20000</v>
      </c>
      <c r="E12" s="126">
        <f>(C12/205.11)*16.33</f>
        <v>11146.214226512602</v>
      </c>
      <c r="F12" s="127">
        <f t="shared" si="2"/>
        <v>171146.2142265126</v>
      </c>
      <c r="G12" s="128">
        <f t="shared" si="3"/>
        <v>52541.88776753937</v>
      </c>
      <c r="H12" s="258">
        <v>1400</v>
      </c>
      <c r="I12" s="137">
        <f t="shared" si="0"/>
        <v>225088.10199405195</v>
      </c>
      <c r="J12" s="137">
        <f t="shared" si="4"/>
        <v>150297.20637706594</v>
      </c>
      <c r="K12" s="225">
        <f t="shared" si="5"/>
        <v>180.79365622012205</v>
      </c>
      <c r="L12" s="226">
        <f t="shared" si="6"/>
        <v>120.72064769242245</v>
      </c>
      <c r="M12" s="231">
        <f t="shared" si="7"/>
        <v>21471.029482437993</v>
      </c>
    </row>
    <row r="13" spans="1:13" ht="16.5" thickBot="1">
      <c r="A13" s="100" t="s">
        <v>161</v>
      </c>
      <c r="B13" s="123" t="s">
        <v>0</v>
      </c>
      <c r="C13" s="222">
        <f aca="true" t="shared" si="8" ref="C13:J13">SUM(C6:C12)</f>
        <v>992400</v>
      </c>
      <c r="D13" s="222">
        <f t="shared" si="8"/>
        <v>125500</v>
      </c>
      <c r="E13" s="222">
        <f t="shared" si="8"/>
        <v>79897.36360977037</v>
      </c>
      <c r="F13" s="124">
        <f t="shared" si="8"/>
        <v>1197797.3636097703</v>
      </c>
      <c r="G13" s="124">
        <f t="shared" si="8"/>
        <v>367723.79062819947</v>
      </c>
      <c r="H13" s="124">
        <f t="shared" si="8"/>
        <v>13400</v>
      </c>
      <c r="I13" s="135">
        <f t="shared" si="8"/>
        <v>1578921.1542379698</v>
      </c>
      <c r="J13" s="124">
        <f t="shared" si="8"/>
        <v>1055483.7063405002</v>
      </c>
      <c r="K13" s="227">
        <f>I13/1245</f>
        <v>1268.2097624401363</v>
      </c>
      <c r="L13" s="228">
        <f>J13/1245</f>
        <v>847.7780773819278</v>
      </c>
      <c r="M13" s="229"/>
    </row>
    <row r="14" ht="15.75" thickBot="1"/>
    <row r="15" spans="1:10" ht="48" customHeight="1">
      <c r="A15" s="115" t="s">
        <v>162</v>
      </c>
      <c r="B15" s="331" t="s">
        <v>156</v>
      </c>
      <c r="C15" s="331"/>
      <c r="D15" s="163">
        <v>65000</v>
      </c>
      <c r="E15" s="164">
        <f>D15-(D15*0.13)</f>
        <v>56550</v>
      </c>
      <c r="F15" s="165" t="s">
        <v>171</v>
      </c>
      <c r="G15" s="165"/>
      <c r="H15" s="165"/>
      <c r="I15" s="136"/>
      <c r="J15" s="68"/>
    </row>
    <row r="16" spans="1:9" ht="103.5" customHeight="1" thickBot="1">
      <c r="A16" s="166" t="s">
        <v>163</v>
      </c>
      <c r="B16" s="332" t="s">
        <v>157</v>
      </c>
      <c r="C16" s="332"/>
      <c r="D16" s="169">
        <f>D15/100*27.1</f>
        <v>17615</v>
      </c>
      <c r="E16" s="332" t="s">
        <v>183</v>
      </c>
      <c r="F16" s="332"/>
      <c r="G16" s="332" t="s">
        <v>191</v>
      </c>
      <c r="H16" s="332"/>
      <c r="I16" s="337"/>
    </row>
    <row r="17" spans="1:10" ht="15.75" thickBot="1">
      <c r="A17" s="103" t="s">
        <v>164</v>
      </c>
      <c r="B17" s="112" t="s">
        <v>155</v>
      </c>
      <c r="C17" s="112"/>
      <c r="D17" s="170">
        <v>35000</v>
      </c>
      <c r="E17" s="69"/>
      <c r="F17" s="69"/>
      <c r="G17" s="70"/>
      <c r="H17" s="70"/>
      <c r="I17" s="70"/>
      <c r="J17" s="68"/>
    </row>
    <row r="18" spans="1:12" ht="15.75" thickBot="1">
      <c r="A18" s="160"/>
      <c r="B18" s="223" t="s">
        <v>192</v>
      </c>
      <c r="C18" s="161"/>
      <c r="D18" s="162">
        <f>I13+D15+D16+D17</f>
        <v>1696536.1542379698</v>
      </c>
      <c r="E18" s="131">
        <f>D18/1245</f>
        <v>1362.6796419582085</v>
      </c>
      <c r="F18" s="132" t="s">
        <v>177</v>
      </c>
      <c r="G18" s="132"/>
      <c r="H18" s="132"/>
      <c r="I18" s="132"/>
      <c r="J18" s="132"/>
      <c r="K18" s="132"/>
      <c r="L18" s="132"/>
    </row>
    <row r="19" spans="4:12" ht="15">
      <c r="D19" t="s">
        <v>195</v>
      </c>
      <c r="E19" s="139">
        <f>(E15/1245)+L13</f>
        <v>893.1997641289157</v>
      </c>
      <c r="F19" s="138" t="s">
        <v>178</v>
      </c>
      <c r="G19" s="138"/>
      <c r="H19" s="138"/>
      <c r="I19" s="138"/>
      <c r="J19" s="138"/>
      <c r="K19" s="138"/>
      <c r="L19" s="138"/>
    </row>
    <row r="28" ht="14.25">
      <c r="A28" s="211"/>
    </row>
  </sheetData>
  <sheetProtection/>
  <mergeCells count="18">
    <mergeCell ref="M3:M4"/>
    <mergeCell ref="A1:H1"/>
    <mergeCell ref="B15:C15"/>
    <mergeCell ref="A2:K2"/>
    <mergeCell ref="A3:A4"/>
    <mergeCell ref="B3:B4"/>
    <mergeCell ref="D3:D4"/>
    <mergeCell ref="H3:H4"/>
    <mergeCell ref="E3:E4"/>
    <mergeCell ref="G3:G4"/>
    <mergeCell ref="K3:L3"/>
    <mergeCell ref="J3:J4"/>
    <mergeCell ref="C3:C4"/>
    <mergeCell ref="E16:F16"/>
    <mergeCell ref="G16:I16"/>
    <mergeCell ref="I3:I4"/>
    <mergeCell ref="B16:C16"/>
    <mergeCell ref="F3:F4"/>
  </mergeCells>
  <printOptions/>
  <pageMargins left="0" right="0" top="0" bottom="0" header="0.31496062992125984" footer="0.31496062992125984"/>
  <pageSetup fitToHeight="1" fitToWidth="1" horizontalDpi="600" verticalDpi="600" orientation="landscape" paperSize="9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4">
      <selection activeCell="D19" sqref="D19"/>
    </sheetView>
  </sheetViews>
  <sheetFormatPr defaultColWidth="9.140625" defaultRowHeight="15"/>
  <cols>
    <col min="1" max="1" width="4.57421875" style="0" customWidth="1"/>
    <col min="2" max="2" width="25.421875" style="0" customWidth="1"/>
    <col min="3" max="3" width="11.7109375" style="0" customWidth="1"/>
    <col min="4" max="4" width="15.140625" style="0" customWidth="1"/>
    <col min="5" max="5" width="10.28125" style="0" customWidth="1"/>
    <col min="6" max="6" width="12.57421875" style="0" bestFit="1" customWidth="1"/>
    <col min="7" max="7" width="11.7109375" style="0" customWidth="1"/>
    <col min="8" max="8" width="15.140625" style="0" customWidth="1"/>
    <col min="9" max="9" width="13.7109375" style="0" customWidth="1"/>
    <col min="10" max="10" width="11.8515625" style="0" customWidth="1"/>
    <col min="11" max="11" width="10.421875" style="0" customWidth="1"/>
    <col min="13" max="13" width="9.7109375" style="0" customWidth="1"/>
  </cols>
  <sheetData>
    <row r="1" spans="1:8" ht="24" customHeight="1">
      <c r="A1" s="327" t="s">
        <v>294</v>
      </c>
      <c r="B1" s="327"/>
      <c r="C1" s="327"/>
      <c r="D1" s="348"/>
      <c r="E1" s="348"/>
      <c r="F1" s="348"/>
      <c r="G1" s="348"/>
      <c r="H1" s="348"/>
    </row>
    <row r="2" spans="1:9" ht="15.75" thickBot="1">
      <c r="A2" s="354" t="s">
        <v>120</v>
      </c>
      <c r="B2" s="354"/>
      <c r="C2" s="354"/>
      <c r="D2" s="355"/>
      <c r="E2" s="355"/>
      <c r="F2" s="355"/>
      <c r="G2" s="355"/>
      <c r="H2" s="355"/>
      <c r="I2" s="355"/>
    </row>
    <row r="3" spans="1:13" ht="30" customHeight="1">
      <c r="A3" s="329" t="s">
        <v>64</v>
      </c>
      <c r="B3" s="331" t="s">
        <v>63</v>
      </c>
      <c r="C3" s="333" t="s">
        <v>221</v>
      </c>
      <c r="D3" s="338" t="s">
        <v>152</v>
      </c>
      <c r="E3" s="351" t="s">
        <v>225</v>
      </c>
      <c r="F3" s="338" t="s">
        <v>194</v>
      </c>
      <c r="G3" s="338" t="s">
        <v>153</v>
      </c>
      <c r="H3" s="338" t="s">
        <v>193</v>
      </c>
      <c r="I3" s="343" t="s">
        <v>179</v>
      </c>
      <c r="J3" s="340" t="s">
        <v>181</v>
      </c>
      <c r="K3" s="338" t="s">
        <v>176</v>
      </c>
      <c r="L3" s="359"/>
      <c r="M3" s="346" t="s">
        <v>223</v>
      </c>
    </row>
    <row r="4" spans="1:13" ht="99.75" customHeight="1" thickBot="1">
      <c r="A4" s="350"/>
      <c r="B4" s="342"/>
      <c r="C4" s="342"/>
      <c r="D4" s="345"/>
      <c r="E4" s="356"/>
      <c r="F4" s="345"/>
      <c r="G4" s="345"/>
      <c r="H4" s="345"/>
      <c r="I4" s="344"/>
      <c r="J4" s="341"/>
      <c r="K4" s="129" t="s">
        <v>174</v>
      </c>
      <c r="L4" s="130" t="s">
        <v>171</v>
      </c>
      <c r="M4" s="347"/>
    </row>
    <row r="5" spans="1:13" ht="15.75" customHeight="1" thickBot="1">
      <c r="A5" s="147"/>
      <c r="B5" s="149" t="s">
        <v>6</v>
      </c>
      <c r="C5" s="149" t="s">
        <v>7</v>
      </c>
      <c r="D5" s="150" t="s">
        <v>8</v>
      </c>
      <c r="E5" s="149" t="s">
        <v>9</v>
      </c>
      <c r="F5" s="150" t="s">
        <v>10</v>
      </c>
      <c r="G5" s="150" t="s">
        <v>107</v>
      </c>
      <c r="H5" s="150" t="s">
        <v>158</v>
      </c>
      <c r="I5" s="150" t="s">
        <v>159</v>
      </c>
      <c r="J5" s="150" t="s">
        <v>160</v>
      </c>
      <c r="K5" s="150" t="s">
        <v>172</v>
      </c>
      <c r="L5" s="151" t="s">
        <v>173</v>
      </c>
      <c r="M5" s="224" t="s">
        <v>224</v>
      </c>
    </row>
    <row r="6" spans="1:13" ht="30">
      <c r="A6" s="141">
        <v>1</v>
      </c>
      <c r="B6" s="58" t="s">
        <v>217</v>
      </c>
      <c r="C6" s="143">
        <f>ШтУтв!M5</f>
        <v>518100</v>
      </c>
      <c r="D6" s="143">
        <f>ШтУтв!G5</f>
        <v>44200</v>
      </c>
      <c r="E6" s="143"/>
      <c r="F6" s="144">
        <f>C6+D6</f>
        <v>562300</v>
      </c>
      <c r="G6" s="145">
        <f>F6/100*30.7</f>
        <v>172626.1</v>
      </c>
      <c r="H6" s="156">
        <f>83000+20000+10000</f>
        <v>113000</v>
      </c>
      <c r="I6" s="145">
        <f>F6+G6+H6</f>
        <v>847926.1</v>
      </c>
      <c r="J6" s="145">
        <f>(F6-(F6*0.13)+H6)</f>
        <v>602201</v>
      </c>
      <c r="K6" s="145">
        <f>I6/1245</f>
        <v>681.065140562249</v>
      </c>
      <c r="L6" s="145">
        <f>J6/1245</f>
        <v>483.6955823293173</v>
      </c>
      <c r="M6" s="230">
        <f>J6/12</f>
        <v>50183.416666666664</v>
      </c>
    </row>
    <row r="7" spans="1:13" ht="15">
      <c r="A7" s="17">
        <f>A6+1</f>
        <v>2</v>
      </c>
      <c r="B7" s="2"/>
      <c r="C7" s="13">
        <v>0</v>
      </c>
      <c r="D7" s="13">
        <v>0</v>
      </c>
      <c r="E7" s="13"/>
      <c r="F7" s="144">
        <f>C7+D7</f>
        <v>0</v>
      </c>
      <c r="G7" s="107">
        <f>F7/100*30.7</f>
        <v>0</v>
      </c>
      <c r="H7" s="13"/>
      <c r="I7" s="107">
        <f>F7+G7+H7</f>
        <v>0</v>
      </c>
      <c r="J7" s="107">
        <f>(F7-(F7*0.13)+H7)</f>
        <v>0</v>
      </c>
      <c r="K7" s="107">
        <f>I7/1248</f>
        <v>0</v>
      </c>
      <c r="L7" s="107">
        <f>J7/1248</f>
        <v>0</v>
      </c>
      <c r="M7" s="230">
        <f>J7/7</f>
        <v>0</v>
      </c>
    </row>
    <row r="8" spans="1:13" ht="15">
      <c r="A8" s="17">
        <v>3</v>
      </c>
      <c r="B8" s="11" t="s">
        <v>16</v>
      </c>
      <c r="C8" s="13">
        <f>ШтУтв!M7</f>
        <v>315000</v>
      </c>
      <c r="D8" s="13">
        <f>ШтУтв!G7</f>
        <v>27000</v>
      </c>
      <c r="E8" s="13"/>
      <c r="F8" s="144">
        <f>C8+D8</f>
        <v>342000</v>
      </c>
      <c r="G8" s="107">
        <f>F8/100*30.7</f>
        <v>104994</v>
      </c>
      <c r="H8" s="24">
        <f>34500+2800</f>
        <v>37300</v>
      </c>
      <c r="I8" s="107">
        <f>F8+G8+H8</f>
        <v>484294</v>
      </c>
      <c r="J8" s="107">
        <f>(F8-(F8*0.13)+H8)</f>
        <v>334840</v>
      </c>
      <c r="K8" s="107">
        <f>I8/1245</f>
        <v>388.99116465863455</v>
      </c>
      <c r="L8" s="107">
        <f>J8/1245</f>
        <v>268.9477911646586</v>
      </c>
      <c r="M8" s="230">
        <f>J8/12</f>
        <v>27903.333333333332</v>
      </c>
    </row>
    <row r="9" spans="1:13" ht="15.75" thickBot="1">
      <c r="A9" s="108">
        <f>A8+1</f>
        <v>4</v>
      </c>
      <c r="B9" s="109" t="s">
        <v>271</v>
      </c>
      <c r="C9" s="59">
        <f>ШтУтв!M8</f>
        <v>280800</v>
      </c>
      <c r="D9" s="59">
        <f>ШтУтв!G8</f>
        <v>25000</v>
      </c>
      <c r="E9" s="59"/>
      <c r="F9" s="144">
        <f>C9+D9</f>
        <v>305800</v>
      </c>
      <c r="G9" s="110">
        <f>F9/100*30.7</f>
        <v>93880.59999999999</v>
      </c>
      <c r="H9" s="59"/>
      <c r="I9" s="110">
        <f>F9+G9+H9</f>
        <v>399680.6</v>
      </c>
      <c r="J9" s="110">
        <f>(F9-(F9*0.13)+H9)</f>
        <v>266046</v>
      </c>
      <c r="K9" s="110">
        <f>I9/1245</f>
        <v>321.02859437751005</v>
      </c>
      <c r="L9" s="110">
        <f>J9/1245</f>
        <v>213.69156626506023</v>
      </c>
      <c r="M9" s="232">
        <f>J9/12</f>
        <v>22170.5</v>
      </c>
    </row>
    <row r="10" spans="1:13" ht="16.5" thickBot="1">
      <c r="A10" s="103" t="s">
        <v>161</v>
      </c>
      <c r="B10" s="111" t="s">
        <v>0</v>
      </c>
      <c r="C10" s="236">
        <f>SUM(C6:C9)</f>
        <v>1113900</v>
      </c>
      <c r="D10" s="236">
        <f>SUM(D6:D9)</f>
        <v>96200</v>
      </c>
      <c r="E10" s="112"/>
      <c r="F10" s="113">
        <f aca="true" t="shared" si="0" ref="F10:L10">SUM(F6:F9)</f>
        <v>1210100</v>
      </c>
      <c r="G10" s="113">
        <f t="shared" si="0"/>
        <v>371500.69999999995</v>
      </c>
      <c r="H10" s="113">
        <f t="shared" si="0"/>
        <v>150300</v>
      </c>
      <c r="I10" s="114">
        <f t="shared" si="0"/>
        <v>1731900.7000000002</v>
      </c>
      <c r="J10" s="113">
        <f t="shared" si="0"/>
        <v>1203087</v>
      </c>
      <c r="K10" s="113">
        <f t="shared" si="0"/>
        <v>1391.0848995983936</v>
      </c>
      <c r="L10" s="113">
        <f t="shared" si="0"/>
        <v>966.3349397590362</v>
      </c>
      <c r="M10" s="235"/>
    </row>
    <row r="11" spans="1:13" ht="16.5" thickBot="1">
      <c r="A11" s="117"/>
      <c r="B11" s="118"/>
      <c r="C11" s="68"/>
      <c r="D11" s="68"/>
      <c r="E11" s="68"/>
      <c r="F11" s="119"/>
      <c r="G11" s="119"/>
      <c r="H11" s="119"/>
      <c r="I11" s="120"/>
      <c r="M11" s="233"/>
    </row>
    <row r="12" spans="1:13" ht="15.75">
      <c r="A12" s="115" t="s">
        <v>162</v>
      </c>
      <c r="B12" s="357" t="s">
        <v>155</v>
      </c>
      <c r="C12" s="358"/>
      <c r="D12" s="121">
        <v>20000</v>
      </c>
      <c r="E12" s="68"/>
      <c r="F12" s="119"/>
      <c r="G12" s="119"/>
      <c r="H12" s="119"/>
      <c r="I12" s="120"/>
      <c r="M12" s="233"/>
    </row>
    <row r="13" spans="1:13" ht="24.75" thickBot="1">
      <c r="A13" s="14"/>
      <c r="B13" s="364" t="s">
        <v>168</v>
      </c>
      <c r="C13" s="361"/>
      <c r="D13" s="122">
        <f>I10+D12</f>
        <v>1751900.7000000002</v>
      </c>
      <c r="E13" s="171" t="s">
        <v>167</v>
      </c>
      <c r="F13" s="133">
        <f>D13/1245</f>
        <v>1407.1491566265063</v>
      </c>
      <c r="G13" s="132" t="s">
        <v>154</v>
      </c>
      <c r="M13" s="234"/>
    </row>
    <row r="15" ht="15">
      <c r="B15" t="s">
        <v>184</v>
      </c>
    </row>
    <row r="16" ht="15.75" thickBot="1"/>
    <row r="17" spans="1:9" ht="57" customHeight="1">
      <c r="A17" s="115" t="s">
        <v>163</v>
      </c>
      <c r="B17" s="331" t="s">
        <v>227</v>
      </c>
      <c r="C17" s="331"/>
      <c r="D17" s="163">
        <v>272500</v>
      </c>
      <c r="E17" s="164">
        <f>D17-(D17*0.13)</f>
        <v>237075</v>
      </c>
      <c r="F17" s="165" t="s">
        <v>171</v>
      </c>
      <c r="G17" s="165"/>
      <c r="H17" s="165"/>
      <c r="I17" s="136"/>
    </row>
    <row r="18" spans="1:9" ht="40.5" customHeight="1">
      <c r="A18" s="116"/>
      <c r="B18" s="360" t="s">
        <v>166</v>
      </c>
      <c r="C18" s="360"/>
      <c r="D18" s="24">
        <f>D17/100*27.1</f>
        <v>73847.5</v>
      </c>
      <c r="E18" s="360" t="s">
        <v>183</v>
      </c>
      <c r="F18" s="360"/>
      <c r="G18" s="360" t="s">
        <v>191</v>
      </c>
      <c r="H18" s="360"/>
      <c r="I18" s="362"/>
    </row>
    <row r="19" spans="1:9" ht="57" customHeight="1" thickBot="1">
      <c r="A19" s="167"/>
      <c r="B19" s="363" t="s">
        <v>228</v>
      </c>
      <c r="C19" s="332"/>
      <c r="D19" s="168">
        <f>D17+D18</f>
        <v>346347.5</v>
      </c>
      <c r="E19" s="361"/>
      <c r="F19" s="361"/>
      <c r="G19" s="332"/>
      <c r="H19" s="332"/>
      <c r="I19" s="337"/>
    </row>
    <row r="20" spans="4:11" ht="14.25">
      <c r="D20" s="68"/>
      <c r="E20" s="133">
        <f>D19/1245</f>
        <v>278.1907630522088</v>
      </c>
      <c r="F20" s="132" t="s">
        <v>182</v>
      </c>
      <c r="G20" s="132"/>
      <c r="H20" s="132"/>
      <c r="I20" s="132"/>
      <c r="J20" s="132"/>
      <c r="K20" s="132"/>
    </row>
    <row r="21" spans="5:11" ht="14.25">
      <c r="E21" s="139">
        <f>E17/1245</f>
        <v>190.42168674698794</v>
      </c>
      <c r="F21" s="138" t="s">
        <v>178</v>
      </c>
      <c r="G21" s="138"/>
      <c r="H21" s="138"/>
      <c r="I21" s="138"/>
      <c r="J21" s="138"/>
      <c r="K21" s="138"/>
    </row>
    <row r="28" ht="14.25">
      <c r="A28" s="211"/>
    </row>
  </sheetData>
  <sheetProtection/>
  <mergeCells count="21">
    <mergeCell ref="E18:F19"/>
    <mergeCell ref="G18:I19"/>
    <mergeCell ref="B17:C17"/>
    <mergeCell ref="B18:C18"/>
    <mergeCell ref="B19:C19"/>
    <mergeCell ref="A3:A4"/>
    <mergeCell ref="B13:C13"/>
    <mergeCell ref="M3:M4"/>
    <mergeCell ref="B12:C12"/>
    <mergeCell ref="I3:I4"/>
    <mergeCell ref="J3:J4"/>
    <mergeCell ref="K3:L3"/>
    <mergeCell ref="B3:B4"/>
    <mergeCell ref="G3:G4"/>
    <mergeCell ref="H3:H4"/>
    <mergeCell ref="A2:I2"/>
    <mergeCell ref="A1:H1"/>
    <mergeCell ref="C3:C4"/>
    <mergeCell ref="D3:D4"/>
    <mergeCell ref="E3:E4"/>
    <mergeCell ref="F3:F4"/>
  </mergeCells>
  <printOptions/>
  <pageMargins left="0" right="0" top="0" bottom="0" header="0.31496062992125984" footer="0.31496062992125984"/>
  <pageSetup fitToHeight="1" fitToWidth="1" horizontalDpi="600" verticalDpi="600" orientation="landscape" paperSize="9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PageLayoutView="0" workbookViewId="0" topLeftCell="A58">
      <selection activeCell="B20" sqref="B20"/>
    </sheetView>
  </sheetViews>
  <sheetFormatPr defaultColWidth="9.140625" defaultRowHeight="15"/>
  <cols>
    <col min="1" max="1" width="8.00390625" style="25" customWidth="1"/>
    <col min="2" max="2" width="48.28125" style="25" customWidth="1"/>
    <col min="3" max="3" width="15.28125" style="25" customWidth="1"/>
    <col min="4" max="4" width="15.140625" style="25" customWidth="1"/>
    <col min="5" max="5" width="16.57421875" style="25" customWidth="1"/>
    <col min="6" max="6" width="2.421875" style="25" customWidth="1"/>
    <col min="7" max="7" width="16.421875" style="25" customWidth="1"/>
    <col min="8" max="8" width="15.140625" style="25" customWidth="1"/>
    <col min="9" max="9" width="12.00390625" style="25" bestFit="1" customWidth="1"/>
    <col min="10" max="10" width="10.57421875" style="25" bestFit="1" customWidth="1"/>
    <col min="11" max="16384" width="9.140625" style="25" customWidth="1"/>
  </cols>
  <sheetData>
    <row r="1" spans="1:6" ht="15">
      <c r="A1" s="379" t="s">
        <v>137</v>
      </c>
      <c r="B1" s="380"/>
      <c r="C1" s="380"/>
      <c r="D1" s="380"/>
      <c r="E1" s="379"/>
      <c r="F1" s="205"/>
    </row>
    <row r="2" spans="1:6" ht="15">
      <c r="A2" s="379" t="s">
        <v>458</v>
      </c>
      <c r="B2" s="380"/>
      <c r="C2" s="380"/>
      <c r="D2" s="380"/>
      <c r="E2" s="379"/>
      <c r="F2" s="241"/>
    </row>
    <row r="3" spans="1:6" ht="26.25" customHeight="1" thickBot="1">
      <c r="A3" s="385" t="s">
        <v>279</v>
      </c>
      <c r="B3" s="385"/>
      <c r="C3" s="385"/>
      <c r="D3" s="385"/>
      <c r="E3" s="385"/>
      <c r="F3" s="206"/>
    </row>
    <row r="4" spans="1:6" ht="45">
      <c r="A4" s="26" t="s">
        <v>5</v>
      </c>
      <c r="B4" s="6" t="s">
        <v>11</v>
      </c>
      <c r="C4" s="27" t="s">
        <v>2</v>
      </c>
      <c r="D4" s="28" t="s">
        <v>14</v>
      </c>
      <c r="E4" s="29" t="s">
        <v>3</v>
      </c>
      <c r="F4" s="56"/>
    </row>
    <row r="5" spans="1:6" ht="18" customHeight="1">
      <c r="A5" s="30" t="s">
        <v>6</v>
      </c>
      <c r="B5" s="31" t="s">
        <v>7</v>
      </c>
      <c r="C5" s="32" t="s">
        <v>8</v>
      </c>
      <c r="D5" s="31" t="s">
        <v>9</v>
      </c>
      <c r="E5" s="33" t="s">
        <v>10</v>
      </c>
      <c r="F5" s="212"/>
    </row>
    <row r="6" spans="1:6" ht="15.75">
      <c r="A6" s="35">
        <v>1</v>
      </c>
      <c r="B6" s="292" t="s">
        <v>108</v>
      </c>
      <c r="C6" s="293"/>
      <c r="D6" s="207"/>
      <c r="E6" s="207"/>
      <c r="F6" s="207"/>
    </row>
    <row r="7" spans="1:6" ht="21" customHeight="1" thickBot="1">
      <c r="A7" s="386" t="s">
        <v>278</v>
      </c>
      <c r="B7" s="386"/>
      <c r="C7" s="387"/>
      <c r="D7" s="387"/>
      <c r="E7" s="387"/>
      <c r="F7" s="208"/>
    </row>
    <row r="8" spans="1:6" ht="30">
      <c r="A8" s="52" t="s">
        <v>59</v>
      </c>
      <c r="B8" s="62" t="s">
        <v>289</v>
      </c>
      <c r="C8" s="94">
        <v>9363652</v>
      </c>
      <c r="D8" s="367" t="s">
        <v>300</v>
      </c>
      <c r="E8" s="368"/>
      <c r="F8" s="213"/>
    </row>
    <row r="9" spans="1:6" ht="24" customHeight="1" thickBot="1">
      <c r="A9" s="36" t="s">
        <v>60</v>
      </c>
      <c r="B9" s="39" t="s">
        <v>290</v>
      </c>
      <c r="C9" s="95">
        <v>498000</v>
      </c>
      <c r="D9" s="369"/>
      <c r="E9" s="370"/>
      <c r="F9" s="213"/>
    </row>
    <row r="10" spans="1:7" ht="15.75" thickBot="1">
      <c r="A10" s="74"/>
      <c r="B10" s="75" t="s">
        <v>73</v>
      </c>
      <c r="C10" s="96">
        <f>C8+C9</f>
        <v>9861652</v>
      </c>
      <c r="D10" s="371"/>
      <c r="E10" s="372"/>
      <c r="F10" s="213"/>
      <c r="G10" s="56"/>
    </row>
    <row r="11" spans="1:6" ht="23.25" customHeight="1" thickBot="1">
      <c r="A11" s="381" t="s">
        <v>79</v>
      </c>
      <c r="B11" s="381"/>
      <c r="C11" s="382"/>
      <c r="D11" s="382"/>
      <c r="E11" s="382"/>
      <c r="F11" s="208"/>
    </row>
    <row r="12" spans="1:6" ht="30">
      <c r="A12" s="52" t="s">
        <v>61</v>
      </c>
      <c r="B12" s="62" t="s">
        <v>119</v>
      </c>
      <c r="C12" s="94">
        <v>0</v>
      </c>
      <c r="D12" s="5"/>
      <c r="E12" s="375"/>
      <c r="F12" s="214"/>
    </row>
    <row r="13" spans="1:6" ht="15.75" thickBot="1">
      <c r="A13" s="36" t="s">
        <v>62</v>
      </c>
      <c r="B13" s="37" t="s">
        <v>58</v>
      </c>
      <c r="C13" s="95">
        <v>0</v>
      </c>
      <c r="D13" s="3"/>
      <c r="E13" s="376"/>
      <c r="F13" s="70"/>
    </row>
    <row r="14" spans="1:6" ht="16.5" customHeight="1" thickBot="1">
      <c r="A14" s="74"/>
      <c r="B14" s="75" t="s">
        <v>80</v>
      </c>
      <c r="C14" s="96">
        <f>C12+C13</f>
        <v>0</v>
      </c>
      <c r="D14" s="61"/>
      <c r="E14" s="76"/>
      <c r="F14" s="83"/>
    </row>
    <row r="15" spans="1:6" ht="48" customHeight="1" thickBot="1">
      <c r="A15" s="92" t="s">
        <v>116</v>
      </c>
      <c r="B15" s="91" t="s">
        <v>117</v>
      </c>
      <c r="C15" s="93">
        <v>0</v>
      </c>
      <c r="D15" s="81"/>
      <c r="E15" s="202" t="s">
        <v>251</v>
      </c>
      <c r="F15" s="214"/>
    </row>
    <row r="16" spans="1:7" ht="20.25" customHeight="1" thickBot="1">
      <c r="A16" s="100" t="s">
        <v>42</v>
      </c>
      <c r="B16" s="78" t="s">
        <v>81</v>
      </c>
      <c r="C16" s="79">
        <f>C10+C14+C15</f>
        <v>9861652</v>
      </c>
      <c r="D16" s="79"/>
      <c r="E16" s="80"/>
      <c r="F16" s="56"/>
      <c r="G16" s="56"/>
    </row>
    <row r="17" spans="1:7" ht="10.5" customHeight="1">
      <c r="A17" s="56"/>
      <c r="B17" s="55"/>
      <c r="C17" s="83"/>
      <c r="D17" s="83"/>
      <c r="E17" s="56"/>
      <c r="F17" s="56"/>
      <c r="G17" s="56"/>
    </row>
    <row r="18" spans="1:6" ht="15.75" customHeight="1">
      <c r="A18" s="35">
        <v>2</v>
      </c>
      <c r="B18" s="383" t="s">
        <v>1</v>
      </c>
      <c r="C18" s="384"/>
      <c r="D18" s="384"/>
      <c r="E18" s="384"/>
      <c r="F18" s="209"/>
    </row>
    <row r="19" spans="1:10" ht="24" customHeight="1" thickBot="1">
      <c r="A19" s="373" t="s">
        <v>110</v>
      </c>
      <c r="B19" s="373"/>
      <c r="C19" s="388"/>
      <c r="D19" s="388"/>
      <c r="E19" s="388"/>
      <c r="F19" s="210"/>
      <c r="J19" s="44"/>
    </row>
    <row r="20" spans="1:8" ht="45">
      <c r="A20" s="45" t="s">
        <v>15</v>
      </c>
      <c r="B20" s="46" t="s">
        <v>111</v>
      </c>
      <c r="C20" s="173">
        <f>'Зп 2а'!D18</f>
        <v>1696536.1542379698</v>
      </c>
      <c r="D20" s="12">
        <f>C20/1245</f>
        <v>1362.6796419582085</v>
      </c>
      <c r="E20" s="98" t="s">
        <v>213</v>
      </c>
      <c r="F20" s="215"/>
      <c r="H20" s="44"/>
    </row>
    <row r="21" spans="1:8" ht="15">
      <c r="A21" s="200" t="s">
        <v>23</v>
      </c>
      <c r="B21" s="51" t="s">
        <v>128</v>
      </c>
      <c r="C21" s="18">
        <v>1500000</v>
      </c>
      <c r="D21" s="201">
        <f>C21/1245</f>
        <v>1204.8192771084337</v>
      </c>
      <c r="E21" s="38"/>
      <c r="F21" s="56"/>
      <c r="G21" s="44"/>
      <c r="H21" s="44"/>
    </row>
    <row r="22" spans="1:6" ht="15">
      <c r="A22" s="41" t="s">
        <v>24</v>
      </c>
      <c r="B22" s="11" t="s">
        <v>293</v>
      </c>
      <c r="C22" s="3">
        <f>73585+9545</f>
        <v>83130</v>
      </c>
      <c r="D22" s="48">
        <f>C22/1245</f>
        <v>66.7710843373494</v>
      </c>
      <c r="E22" s="38"/>
      <c r="F22" s="56"/>
    </row>
    <row r="23" spans="1:6" ht="15">
      <c r="A23" s="41" t="s">
        <v>32</v>
      </c>
      <c r="B23" s="11" t="s">
        <v>4</v>
      </c>
      <c r="C23" s="3">
        <f>'Прил.3-9'!B21</f>
        <v>1300000</v>
      </c>
      <c r="D23" s="48">
        <f aca="true" t="shared" si="0" ref="D23:D29">C23/1245</f>
        <v>1044.1767068273093</v>
      </c>
      <c r="E23" s="67" t="s">
        <v>78</v>
      </c>
      <c r="F23" s="215"/>
    </row>
    <row r="24" spans="1:6" ht="30">
      <c r="A24" s="41" t="s">
        <v>33</v>
      </c>
      <c r="B24" s="99" t="s">
        <v>114</v>
      </c>
      <c r="C24" s="97">
        <f>C25+C26+C27+C28</f>
        <v>596000</v>
      </c>
      <c r="D24" s="48">
        <f t="shared" si="0"/>
        <v>478.714859437751</v>
      </c>
      <c r="E24" s="38"/>
      <c r="F24" s="56"/>
    </row>
    <row r="25" spans="1:6" ht="15">
      <c r="A25" s="41"/>
      <c r="B25" s="60" t="s">
        <v>113</v>
      </c>
      <c r="C25" s="3">
        <f>'Прил.3-9'!B36</f>
        <v>256000</v>
      </c>
      <c r="D25" s="48">
        <f t="shared" si="0"/>
        <v>205.62248995983936</v>
      </c>
      <c r="E25" s="67" t="s">
        <v>82</v>
      </c>
      <c r="F25" s="215"/>
    </row>
    <row r="26" spans="1:6" ht="45">
      <c r="A26" s="41"/>
      <c r="B26" s="60" t="s">
        <v>112</v>
      </c>
      <c r="C26" s="3">
        <f>'Прил.3-9'!B49</f>
        <v>80000</v>
      </c>
      <c r="D26" s="48">
        <f t="shared" si="0"/>
        <v>64.2570281124498</v>
      </c>
      <c r="E26" s="67" t="s">
        <v>83</v>
      </c>
      <c r="F26" s="215"/>
    </row>
    <row r="27" spans="1:6" ht="30">
      <c r="A27" s="41"/>
      <c r="B27" s="49" t="s">
        <v>49</v>
      </c>
      <c r="C27" s="3">
        <v>200000</v>
      </c>
      <c r="D27" s="48">
        <f t="shared" si="0"/>
        <v>160.6425702811245</v>
      </c>
      <c r="E27" s="38"/>
      <c r="F27" s="56"/>
    </row>
    <row r="28" spans="1:8" ht="27" customHeight="1">
      <c r="A28" s="41"/>
      <c r="B28" s="77" t="s">
        <v>115</v>
      </c>
      <c r="C28" s="3">
        <f>'Прил.3-9'!B60</f>
        <v>60000</v>
      </c>
      <c r="D28" s="48">
        <f t="shared" si="0"/>
        <v>48.19277108433735</v>
      </c>
      <c r="E28" s="67" t="s">
        <v>84</v>
      </c>
      <c r="F28" s="215"/>
      <c r="H28" s="44"/>
    </row>
    <row r="29" spans="1:6" ht="15">
      <c r="A29" s="41" t="s">
        <v>34</v>
      </c>
      <c r="B29" s="50" t="s">
        <v>118</v>
      </c>
      <c r="C29" s="3">
        <f>'Прил.3-9'!D12</f>
        <v>241728</v>
      </c>
      <c r="D29" s="48">
        <f t="shared" si="0"/>
        <v>194.15903614457832</v>
      </c>
      <c r="E29" s="67" t="s">
        <v>74</v>
      </c>
      <c r="F29" s="215"/>
    </row>
    <row r="30" spans="1:9" ht="120.75" thickBot="1">
      <c r="A30" s="72" t="s">
        <v>35</v>
      </c>
      <c r="B30" s="49" t="s">
        <v>66</v>
      </c>
      <c r="C30" s="262">
        <v>1500000</v>
      </c>
      <c r="D30" s="102">
        <f>C30/1245</f>
        <v>1204.8192771084337</v>
      </c>
      <c r="E30" s="73"/>
      <c r="F30" s="56"/>
      <c r="I30" s="44"/>
    </row>
    <row r="31" spans="1:8" ht="15.75" thickBot="1">
      <c r="A31" s="103" t="s">
        <v>43</v>
      </c>
      <c r="B31" s="75" t="s">
        <v>37</v>
      </c>
      <c r="C31" s="61">
        <f>SUM(C20:C30)-C24</f>
        <v>6917394.15423797</v>
      </c>
      <c r="D31" s="61">
        <f>C31/1245</f>
        <v>5556.139882922064</v>
      </c>
      <c r="E31" s="42"/>
      <c r="F31" s="56"/>
      <c r="G31" s="44"/>
      <c r="H31" s="44"/>
    </row>
    <row r="32" spans="1:8" ht="28.5" customHeight="1" thickBot="1">
      <c r="A32" s="374" t="s">
        <v>122</v>
      </c>
      <c r="B32" s="374"/>
      <c r="C32" s="374"/>
      <c r="D32" s="374"/>
      <c r="E32" s="374"/>
      <c r="F32" s="43"/>
      <c r="H32" s="66"/>
    </row>
    <row r="33" spans="1:6" ht="15">
      <c r="A33" s="101" t="s">
        <v>50</v>
      </c>
      <c r="B33" s="62" t="s">
        <v>121</v>
      </c>
      <c r="C33" s="5">
        <v>50000</v>
      </c>
      <c r="D33" s="12">
        <f>C33/1245</f>
        <v>40.16064257028113</v>
      </c>
      <c r="E33" s="250" t="s">
        <v>252</v>
      </c>
      <c r="F33" s="215"/>
    </row>
    <row r="34" spans="1:6" ht="15">
      <c r="A34" s="41" t="s">
        <v>51</v>
      </c>
      <c r="B34" s="37" t="s">
        <v>292</v>
      </c>
      <c r="C34" s="3">
        <v>250000</v>
      </c>
      <c r="D34" s="48">
        <f>C34/1245</f>
        <v>200.80321285140562</v>
      </c>
      <c r="E34" s="38"/>
      <c r="F34" s="56"/>
    </row>
    <row r="35" spans="1:6" ht="15">
      <c r="A35" s="41" t="s">
        <v>132</v>
      </c>
      <c r="B35" s="50" t="s">
        <v>85</v>
      </c>
      <c r="C35" s="3">
        <f>'Прил.3-9'!B71</f>
        <v>20000</v>
      </c>
      <c r="D35" s="48">
        <f>C35/1245</f>
        <v>16.06425702811245</v>
      </c>
      <c r="E35" s="67" t="s">
        <v>134</v>
      </c>
      <c r="F35" s="215"/>
    </row>
    <row r="36" spans="1:6" ht="45">
      <c r="A36" s="41" t="s">
        <v>52</v>
      </c>
      <c r="B36" s="2" t="s">
        <v>233</v>
      </c>
      <c r="C36" s="3">
        <v>10000</v>
      </c>
      <c r="D36" s="48">
        <f aca="true" t="shared" si="1" ref="D36:D42">C36/1245</f>
        <v>8.032128514056225</v>
      </c>
      <c r="E36" s="82"/>
      <c r="F36" s="216"/>
    </row>
    <row r="37" spans="1:6" ht="60">
      <c r="A37" s="41" t="s">
        <v>53</v>
      </c>
      <c r="B37" s="2" t="s">
        <v>123</v>
      </c>
      <c r="C37" s="3">
        <v>40000</v>
      </c>
      <c r="D37" s="48">
        <f t="shared" si="1"/>
        <v>32.1285140562249</v>
      </c>
      <c r="E37" s="38"/>
      <c r="F37" s="56"/>
    </row>
    <row r="38" spans="1:6" ht="15">
      <c r="A38" s="41" t="s">
        <v>54</v>
      </c>
      <c r="B38" s="2" t="s">
        <v>47</v>
      </c>
      <c r="C38" s="3">
        <v>100000</v>
      </c>
      <c r="D38" s="48">
        <f t="shared" si="1"/>
        <v>80.32128514056225</v>
      </c>
      <c r="E38" s="38"/>
      <c r="F38" s="56"/>
    </row>
    <row r="39" spans="1:6" ht="30">
      <c r="A39" s="41" t="s">
        <v>55</v>
      </c>
      <c r="B39" s="238" t="s">
        <v>232</v>
      </c>
      <c r="C39" s="3">
        <v>10000</v>
      </c>
      <c r="D39" s="48">
        <f t="shared" si="1"/>
        <v>8.032128514056225</v>
      </c>
      <c r="E39" s="38"/>
      <c r="F39" s="56"/>
    </row>
    <row r="40" spans="1:6" ht="30">
      <c r="A40" s="41" t="s">
        <v>56</v>
      </c>
      <c r="B40" s="2" t="s">
        <v>439</v>
      </c>
      <c r="C40" s="3">
        <v>0</v>
      </c>
      <c r="D40" s="48">
        <f t="shared" si="1"/>
        <v>0</v>
      </c>
      <c r="E40" s="38"/>
      <c r="F40" s="56"/>
    </row>
    <row r="41" spans="1:6" ht="15">
      <c r="A41" s="47" t="s">
        <v>229</v>
      </c>
      <c r="B41" s="58"/>
      <c r="C41" s="259">
        <v>0</v>
      </c>
      <c r="D41" s="48">
        <f t="shared" si="1"/>
        <v>0</v>
      </c>
      <c r="E41" s="240"/>
      <c r="F41" s="56"/>
    </row>
    <row r="42" spans="1:6" ht="15">
      <c r="A42" s="47" t="s">
        <v>230</v>
      </c>
      <c r="B42" s="58"/>
      <c r="C42" s="174">
        <v>0</v>
      </c>
      <c r="D42" s="48">
        <f t="shared" si="1"/>
        <v>0</v>
      </c>
      <c r="E42" s="240"/>
      <c r="F42" s="56"/>
    </row>
    <row r="43" spans="1:6" ht="15.75" thickBot="1">
      <c r="A43" s="237" t="s">
        <v>231</v>
      </c>
      <c r="B43" s="238"/>
      <c r="C43" s="260"/>
      <c r="D43" s="48">
        <f>C43/1245</f>
        <v>0</v>
      </c>
      <c r="E43" s="239"/>
      <c r="F43" s="56"/>
    </row>
    <row r="44" spans="1:8" ht="15.75" thickBot="1">
      <c r="A44" s="103" t="s">
        <v>44</v>
      </c>
      <c r="B44" s="75" t="s">
        <v>38</v>
      </c>
      <c r="C44" s="61">
        <f>C33+C34+C35+C36+C37+C38+C39+C40+C41+C42+C43</f>
        <v>480000</v>
      </c>
      <c r="D44" s="104">
        <f>C44/1245</f>
        <v>385.5421686746988</v>
      </c>
      <c r="E44" s="42"/>
      <c r="F44" s="56"/>
      <c r="G44" s="44"/>
      <c r="H44" s="44"/>
    </row>
    <row r="45" spans="1:6" ht="33" customHeight="1" thickBot="1">
      <c r="A45" s="374" t="s">
        <v>133</v>
      </c>
      <c r="B45" s="374"/>
      <c r="C45" s="374"/>
      <c r="D45" s="374"/>
      <c r="E45" s="374"/>
      <c r="F45" s="43"/>
    </row>
    <row r="46" spans="1:6" ht="45">
      <c r="A46" s="45" t="s">
        <v>39</v>
      </c>
      <c r="B46" s="2" t="s">
        <v>120</v>
      </c>
      <c r="C46" s="173">
        <f>'Зп 2б'!D13</f>
        <v>1751900.7000000002</v>
      </c>
      <c r="D46" s="12">
        <f>C46/1245</f>
        <v>1407.1491566265063</v>
      </c>
      <c r="E46" s="67" t="s">
        <v>214</v>
      </c>
      <c r="F46" s="215"/>
    </row>
    <row r="47" spans="1:6" ht="45">
      <c r="A47" s="84" t="s">
        <v>40</v>
      </c>
      <c r="B47" s="2" t="s">
        <v>226</v>
      </c>
      <c r="C47" s="174">
        <f>'Зп 2б'!D19</f>
        <v>346347.5</v>
      </c>
      <c r="D47" s="48">
        <f>C47/1245</f>
        <v>278.1907630522088</v>
      </c>
      <c r="E47" s="67" t="s">
        <v>215</v>
      </c>
      <c r="F47" s="215"/>
    </row>
    <row r="48" spans="1:6" ht="30">
      <c r="A48" s="41" t="s">
        <v>41</v>
      </c>
      <c r="B48" s="2" t="s">
        <v>25</v>
      </c>
      <c r="C48" s="3">
        <f>'Прил.3-9'!B92</f>
        <v>396500</v>
      </c>
      <c r="D48" s="48">
        <f>C48/1245</f>
        <v>318.4738955823293</v>
      </c>
      <c r="E48" s="67" t="s">
        <v>197</v>
      </c>
      <c r="F48" s="215"/>
    </row>
    <row r="49" spans="1:8" ht="30.75" thickBot="1">
      <c r="A49" s="41" t="s">
        <v>141</v>
      </c>
      <c r="B49" s="2" t="s">
        <v>216</v>
      </c>
      <c r="C49" s="3">
        <v>40000</v>
      </c>
      <c r="D49" s="48">
        <f>C49/1245</f>
        <v>32.1285140562249</v>
      </c>
      <c r="E49" s="67"/>
      <c r="F49" s="215"/>
      <c r="G49" s="44"/>
      <c r="H49" s="44"/>
    </row>
    <row r="50" spans="1:8" ht="15.75" thickBot="1">
      <c r="A50" s="103" t="s">
        <v>45</v>
      </c>
      <c r="B50" s="75" t="s">
        <v>46</v>
      </c>
      <c r="C50" s="61">
        <f>C46+C47+C48+C49</f>
        <v>2534748.2</v>
      </c>
      <c r="D50" s="104">
        <f>C50/1245</f>
        <v>2035.9423293172692</v>
      </c>
      <c r="E50" s="42"/>
      <c r="F50" s="56"/>
      <c r="G50" s="44"/>
      <c r="H50" s="44"/>
    </row>
    <row r="51" spans="1:6" ht="33" customHeight="1" thickBot="1">
      <c r="A51" s="373" t="s">
        <v>140</v>
      </c>
      <c r="B51" s="373"/>
      <c r="C51" s="373"/>
      <c r="D51" s="373"/>
      <c r="E51" s="373"/>
      <c r="F51" s="43"/>
    </row>
    <row r="52" spans="1:6" ht="33" customHeight="1">
      <c r="A52" s="45" t="s">
        <v>136</v>
      </c>
      <c r="B52" s="6" t="s">
        <v>291</v>
      </c>
      <c r="C52" s="175">
        <v>10000</v>
      </c>
      <c r="D52" s="12">
        <f>C52/1245</f>
        <v>8.032128514056225</v>
      </c>
      <c r="E52" s="90"/>
      <c r="F52" s="43"/>
    </row>
    <row r="53" spans="1:6" ht="33" customHeight="1" thickBot="1">
      <c r="A53" s="106" t="s">
        <v>138</v>
      </c>
      <c r="B53" s="34" t="s">
        <v>170</v>
      </c>
      <c r="C53" s="326">
        <v>103500</v>
      </c>
      <c r="D53" s="105">
        <f>C53/1245</f>
        <v>83.13253012048193</v>
      </c>
      <c r="E53" s="265" t="s">
        <v>301</v>
      </c>
      <c r="F53" s="217"/>
    </row>
    <row r="54" spans="1:8" ht="15.75" thickBot="1">
      <c r="A54" s="103" t="s">
        <v>67</v>
      </c>
      <c r="B54" s="75" t="s">
        <v>139</v>
      </c>
      <c r="C54" s="61">
        <f>C52+C53</f>
        <v>113500</v>
      </c>
      <c r="D54" s="104">
        <f>C54/1245</f>
        <v>91.16465863453816</v>
      </c>
      <c r="E54" s="42"/>
      <c r="F54" s="56"/>
      <c r="G54" s="44"/>
      <c r="H54" s="44"/>
    </row>
    <row r="55" spans="1:6" ht="33" customHeight="1" thickBot="1">
      <c r="A55" s="373" t="s">
        <v>145</v>
      </c>
      <c r="B55" s="373"/>
      <c r="C55" s="373"/>
      <c r="D55" s="373"/>
      <c r="E55" s="373"/>
      <c r="F55" s="43"/>
    </row>
    <row r="56" spans="1:6" ht="33" customHeight="1">
      <c r="A56" s="26" t="s">
        <v>146</v>
      </c>
      <c r="B56" s="46" t="s">
        <v>126</v>
      </c>
      <c r="C56" s="176">
        <f>C57</f>
        <v>499200</v>
      </c>
      <c r="D56" s="89"/>
      <c r="E56" s="90"/>
      <c r="F56" s="43"/>
    </row>
    <row r="57" spans="1:6" ht="15">
      <c r="A57" s="36"/>
      <c r="B57" s="2" t="s">
        <v>169</v>
      </c>
      <c r="C57" s="3">
        <v>499200</v>
      </c>
      <c r="D57" s="3">
        <f>C57/1245</f>
        <v>400.96385542168673</v>
      </c>
      <c r="E57" s="40"/>
      <c r="F57" s="214"/>
    </row>
    <row r="58" spans="1:6" ht="14.25">
      <c r="A58" s="36" t="s">
        <v>147</v>
      </c>
      <c r="B58" s="2" t="s">
        <v>125</v>
      </c>
      <c r="C58" s="4">
        <v>0</v>
      </c>
      <c r="D58" s="3">
        <f>C58/1245</f>
        <v>0</v>
      </c>
      <c r="E58" s="38"/>
      <c r="F58" s="56"/>
    </row>
    <row r="59" spans="1:6" ht="29.25" thickBot="1">
      <c r="A59" s="36" t="s">
        <v>148</v>
      </c>
      <c r="B59" s="2" t="s">
        <v>124</v>
      </c>
      <c r="C59" s="4">
        <v>0</v>
      </c>
      <c r="D59" s="3">
        <f>C59/1245</f>
        <v>0</v>
      </c>
      <c r="E59" s="38"/>
      <c r="F59" s="56"/>
    </row>
    <row r="60" spans="1:8" ht="23.25" customHeight="1" thickBot="1">
      <c r="A60" s="63" t="s">
        <v>68</v>
      </c>
      <c r="B60" s="71" t="s">
        <v>38</v>
      </c>
      <c r="C60" s="64">
        <f>C56+C58+C59</f>
        <v>499200</v>
      </c>
      <c r="D60" s="64">
        <f>C60/1245</f>
        <v>400.96385542168673</v>
      </c>
      <c r="E60" s="65"/>
      <c r="F60" s="54"/>
      <c r="H60" s="44"/>
    </row>
    <row r="61" spans="1:8" ht="25.5" customHeight="1" thickBot="1">
      <c r="A61" s="85" t="s">
        <v>69</v>
      </c>
      <c r="B61" s="86" t="s">
        <v>127</v>
      </c>
      <c r="C61" s="87">
        <f>C31+C44+C50+C54+C60</f>
        <v>10544842.35423797</v>
      </c>
      <c r="D61" s="87">
        <f>C61/1245</f>
        <v>8469.752894970257</v>
      </c>
      <c r="E61" s="88"/>
      <c r="F61" s="54"/>
      <c r="G61" s="44"/>
      <c r="H61" s="44"/>
    </row>
    <row r="62" spans="2:5" ht="14.25">
      <c r="B62" s="377" t="s">
        <v>241</v>
      </c>
      <c r="C62" s="378"/>
      <c r="D62" s="378"/>
      <c r="E62" s="378"/>
    </row>
    <row r="63" spans="2:5" ht="14.25">
      <c r="B63" s="243" t="s">
        <v>237</v>
      </c>
      <c r="C63" s="244">
        <f>D63*600</f>
        <v>5556.139882922064</v>
      </c>
      <c r="D63" s="245">
        <f>D31/600</f>
        <v>9.260233138203441</v>
      </c>
      <c r="E63" s="246" t="s">
        <v>236</v>
      </c>
    </row>
    <row r="64" spans="2:4" ht="24">
      <c r="B64" s="252" t="s">
        <v>269</v>
      </c>
      <c r="C64" s="247">
        <f>D44+D50+D54</f>
        <v>2512.6491566265063</v>
      </c>
      <c r="D64" s="44"/>
    </row>
    <row r="65" spans="1:4" ht="14.25">
      <c r="A65" s="177"/>
      <c r="B65" s="248" t="s">
        <v>242</v>
      </c>
      <c r="C65" s="242">
        <f>C63+C64</f>
        <v>8068.78903954857</v>
      </c>
      <c r="D65" s="44"/>
    </row>
    <row r="66" spans="2:8" ht="14.25">
      <c r="B66" s="25" t="s">
        <v>260</v>
      </c>
      <c r="E66" s="253">
        <f>C63+C64</f>
        <v>8068.78903954857</v>
      </c>
      <c r="F66" s="218"/>
      <c r="G66" s="44"/>
      <c r="H66" s="44"/>
    </row>
    <row r="67" spans="2:8" ht="14.25">
      <c r="B67" s="251" t="s">
        <v>261</v>
      </c>
      <c r="C67" s="44"/>
      <c r="E67" s="254">
        <v>401</v>
      </c>
      <c r="F67" s="219"/>
      <c r="H67" s="56"/>
    </row>
    <row r="68" spans="2:6" ht="14.25">
      <c r="B68" s="25" t="s">
        <v>274</v>
      </c>
      <c r="E68" s="254">
        <f>E66+E67</f>
        <v>8469.78903954857</v>
      </c>
      <c r="F68" s="53"/>
    </row>
    <row r="69" spans="3:6" ht="14.25">
      <c r="C69" s="44"/>
      <c r="D69" s="44"/>
      <c r="E69" s="53"/>
      <c r="F69" s="53"/>
    </row>
    <row r="70" spans="2:6" ht="14.25">
      <c r="B70" s="365" t="s">
        <v>275</v>
      </c>
      <c r="C70" s="366"/>
      <c r="D70" s="366"/>
      <c r="E70" s="366"/>
      <c r="F70" s="16"/>
    </row>
    <row r="71" spans="2:6" ht="28.5" customHeight="1">
      <c r="B71" s="366"/>
      <c r="C71" s="366"/>
      <c r="D71" s="366"/>
      <c r="E71" s="366"/>
      <c r="F71" s="16"/>
    </row>
    <row r="73" spans="2:4" ht="14.25">
      <c r="B73" s="25" t="s">
        <v>12</v>
      </c>
      <c r="C73" s="198"/>
      <c r="D73" s="25" t="s">
        <v>13</v>
      </c>
    </row>
    <row r="75" ht="14.25">
      <c r="B75" s="199" t="s">
        <v>212</v>
      </c>
    </row>
    <row r="77" ht="14.25">
      <c r="B77" s="25" t="s">
        <v>262</v>
      </c>
    </row>
    <row r="78" spans="2:3" ht="14.25">
      <c r="B78" s="25" t="s">
        <v>263</v>
      </c>
      <c r="C78" s="25" t="s">
        <v>264</v>
      </c>
    </row>
    <row r="80" spans="2:3" ht="14.25">
      <c r="B80" s="25" t="s">
        <v>265</v>
      </c>
      <c r="C80" s="25" t="s">
        <v>266</v>
      </c>
    </row>
    <row r="82" spans="2:3" ht="14.25">
      <c r="B82" s="25" t="s">
        <v>277</v>
      </c>
      <c r="C82" s="25" t="s">
        <v>268</v>
      </c>
    </row>
    <row r="84" ht="14.25">
      <c r="B84" s="295" t="s">
        <v>267</v>
      </c>
    </row>
    <row r="85" ht="14.25">
      <c r="B85" s="296" t="s">
        <v>276</v>
      </c>
    </row>
  </sheetData>
  <sheetProtection/>
  <mergeCells count="15">
    <mergeCell ref="A2:E2"/>
    <mergeCell ref="A1:E1"/>
    <mergeCell ref="A32:E32"/>
    <mergeCell ref="A11:E11"/>
    <mergeCell ref="B18:E18"/>
    <mergeCell ref="A3:E3"/>
    <mergeCell ref="A7:E7"/>
    <mergeCell ref="A19:E19"/>
    <mergeCell ref="B70:E71"/>
    <mergeCell ref="D8:E10"/>
    <mergeCell ref="A55:E55"/>
    <mergeCell ref="A51:E51"/>
    <mergeCell ref="A45:E45"/>
    <mergeCell ref="E12:E13"/>
    <mergeCell ref="B62:E62"/>
  </mergeCells>
  <printOptions/>
  <pageMargins left="0.3937007874015748" right="0" top="0.1968503937007874" bottom="0.1968503937007874" header="0.5118110236220472" footer="0.5118110236220472"/>
  <pageSetup fitToHeight="2" fitToWidth="1" horizontalDpi="600" verticalDpi="600" orientation="portrait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zoomScalePageLayoutView="0" workbookViewId="0" topLeftCell="A34">
      <selection activeCell="C11" sqref="C11"/>
    </sheetView>
  </sheetViews>
  <sheetFormatPr defaultColWidth="9.140625" defaultRowHeight="15"/>
  <cols>
    <col min="1" max="1" width="29.57421875" style="181" customWidth="1"/>
    <col min="2" max="2" width="18.421875" style="181" customWidth="1"/>
    <col min="3" max="3" width="11.28125" style="181" customWidth="1"/>
    <col min="4" max="4" width="11.7109375" style="181" customWidth="1"/>
    <col min="5" max="5" width="17.421875" style="181" customWidth="1"/>
    <col min="6" max="16384" width="9.140625" style="181" customWidth="1"/>
  </cols>
  <sheetData>
    <row r="1" spans="1:4" ht="13.5">
      <c r="A1" s="263"/>
      <c r="B1" s="196"/>
      <c r="C1" s="196"/>
      <c r="D1" s="196"/>
    </row>
    <row r="2" spans="1:4" ht="13.5">
      <c r="A2" s="392" t="s">
        <v>280</v>
      </c>
      <c r="B2" s="390"/>
      <c r="C2" s="390"/>
      <c r="D2" s="390"/>
    </row>
    <row r="4" ht="13.5">
      <c r="A4" s="181" t="s">
        <v>31</v>
      </c>
    </row>
    <row r="6" spans="1:4" ht="13.5">
      <c r="A6" s="183" t="s">
        <v>99</v>
      </c>
      <c r="B6" s="255" t="s">
        <v>273</v>
      </c>
      <c r="C6" s="188" t="s">
        <v>21</v>
      </c>
      <c r="D6" s="188" t="s">
        <v>0</v>
      </c>
    </row>
    <row r="7" spans="1:4" ht="13.5">
      <c r="A7" s="184" t="s">
        <v>22</v>
      </c>
      <c r="B7" s="185">
        <v>1200</v>
      </c>
      <c r="C7" s="185">
        <v>2028</v>
      </c>
      <c r="D7" s="185">
        <f>B7+C7</f>
        <v>3228</v>
      </c>
    </row>
    <row r="8" spans="1:4" ht="27">
      <c r="A8" s="184" t="s">
        <v>90</v>
      </c>
      <c r="B8" s="185">
        <v>5000</v>
      </c>
      <c r="C8" s="185">
        <v>3500</v>
      </c>
      <c r="D8" s="185">
        <f>B8+C8</f>
        <v>8500</v>
      </c>
    </row>
    <row r="9" spans="1:4" ht="27">
      <c r="A9" s="184" t="s">
        <v>75</v>
      </c>
      <c r="B9" s="185">
        <v>25000</v>
      </c>
      <c r="C9" s="185">
        <v>115000</v>
      </c>
      <c r="D9" s="185">
        <f>B9+C9</f>
        <v>140000</v>
      </c>
    </row>
    <row r="10" spans="1:4" ht="27">
      <c r="A10" s="184" t="s">
        <v>76</v>
      </c>
      <c r="B10" s="185">
        <v>20000</v>
      </c>
      <c r="C10" s="185">
        <v>50000</v>
      </c>
      <c r="D10" s="185">
        <f>B10+C10</f>
        <v>70000</v>
      </c>
    </row>
    <row r="11" spans="1:4" ht="27">
      <c r="A11" s="184" t="s">
        <v>77</v>
      </c>
      <c r="B11" s="261">
        <v>20000</v>
      </c>
      <c r="C11" s="185">
        <v>0</v>
      </c>
      <c r="D11" s="185">
        <f>B11+C11</f>
        <v>20000</v>
      </c>
    </row>
    <row r="12" spans="1:4" ht="13.5">
      <c r="A12" s="194" t="s">
        <v>0</v>
      </c>
      <c r="B12" s="187">
        <f>SUM(B7:B11)</f>
        <v>71200</v>
      </c>
      <c r="C12" s="187">
        <f>SUM(C7:C11)</f>
        <v>170528</v>
      </c>
      <c r="D12" s="187">
        <f>SUM(D7:D11)</f>
        <v>241728</v>
      </c>
    </row>
    <row r="13" spans="3:4" ht="14.25">
      <c r="C13" s="394" t="s">
        <v>247</v>
      </c>
      <c r="D13" s="395"/>
    </row>
    <row r="15" spans="1:4" ht="13.5">
      <c r="A15" s="392" t="s">
        <v>281</v>
      </c>
      <c r="B15" s="390"/>
      <c r="C15" s="390"/>
      <c r="D15" s="390"/>
    </row>
    <row r="16" ht="13.5">
      <c r="A16" s="181" t="s">
        <v>4</v>
      </c>
    </row>
    <row r="17" ht="13.5">
      <c r="C17" s="182"/>
    </row>
    <row r="18" spans="1:3" ht="13.5">
      <c r="A18" s="183" t="s">
        <v>99</v>
      </c>
      <c r="B18" s="183" t="s">
        <v>207</v>
      </c>
      <c r="C18" s="182"/>
    </row>
    <row r="19" spans="1:2" ht="13.5">
      <c r="A19" s="34" t="s">
        <v>239</v>
      </c>
      <c r="B19" s="185"/>
    </row>
    <row r="20" spans="1:2" ht="27">
      <c r="A20" s="194" t="s">
        <v>240</v>
      </c>
      <c r="B20" s="187">
        <v>1300000</v>
      </c>
    </row>
    <row r="21" spans="1:3" ht="13.5">
      <c r="A21" s="186" t="s">
        <v>0</v>
      </c>
      <c r="B21" s="187">
        <f>SUM(B19:B20)</f>
        <v>1300000</v>
      </c>
      <c r="C21" s="249" t="s">
        <v>243</v>
      </c>
    </row>
    <row r="23" spans="1:4" ht="13.5">
      <c r="A23" s="392" t="s">
        <v>282</v>
      </c>
      <c r="B23" s="390"/>
      <c r="C23" s="390"/>
      <c r="D23" s="390"/>
    </row>
    <row r="25" ht="13.5">
      <c r="A25" s="249" t="s">
        <v>91</v>
      </c>
    </row>
    <row r="27" spans="1:2" ht="13.5">
      <c r="A27" s="183" t="s">
        <v>99</v>
      </c>
      <c r="B27" s="183"/>
    </row>
    <row r="28" spans="1:2" ht="13.5">
      <c r="A28" s="188" t="s">
        <v>36</v>
      </c>
      <c r="B28" s="185">
        <v>15000</v>
      </c>
    </row>
    <row r="29" spans="1:2" ht="27">
      <c r="A29" s="34" t="s">
        <v>219</v>
      </c>
      <c r="B29" s="185">
        <v>6000</v>
      </c>
    </row>
    <row r="30" spans="1:2" ht="54.75">
      <c r="A30" s="34" t="s">
        <v>218</v>
      </c>
      <c r="B30" s="185">
        <v>30000</v>
      </c>
    </row>
    <row r="31" spans="1:2" ht="13.5">
      <c r="A31" s="184" t="s">
        <v>98</v>
      </c>
      <c r="B31" s="185">
        <v>20000</v>
      </c>
    </row>
    <row r="32" spans="1:2" ht="13.5">
      <c r="A32" s="184" t="s">
        <v>92</v>
      </c>
      <c r="B32" s="185">
        <v>80000</v>
      </c>
    </row>
    <row r="33" spans="1:2" ht="27">
      <c r="A33" s="184" t="s">
        <v>97</v>
      </c>
      <c r="B33" s="185">
        <v>55000</v>
      </c>
    </row>
    <row r="34" spans="1:2" ht="13.5">
      <c r="A34" s="188" t="s">
        <v>103</v>
      </c>
      <c r="B34" s="185">
        <v>50000</v>
      </c>
    </row>
    <row r="35" spans="1:2" ht="41.25">
      <c r="A35" s="184" t="s">
        <v>130</v>
      </c>
      <c r="B35" s="185"/>
    </row>
    <row r="36" spans="1:3" ht="13.5">
      <c r="A36" s="186" t="s">
        <v>0</v>
      </c>
      <c r="B36" s="187">
        <f>SUM(B28:B35)</f>
        <v>256000</v>
      </c>
      <c r="C36" s="249" t="s">
        <v>244</v>
      </c>
    </row>
    <row r="37" ht="13.5">
      <c r="B37" s="221"/>
    </row>
    <row r="38" spans="1:4" ht="13.5">
      <c r="A38" s="392" t="s">
        <v>283</v>
      </c>
      <c r="B38" s="390"/>
      <c r="C38" s="390"/>
      <c r="D38" s="390"/>
    </row>
    <row r="40" spans="1:4" ht="27.75" customHeight="1">
      <c r="A40" s="393" t="s">
        <v>129</v>
      </c>
      <c r="B40" s="390"/>
      <c r="C40" s="390"/>
      <c r="D40" s="390"/>
    </row>
    <row r="42" spans="1:4" ht="13.5">
      <c r="A42" s="183" t="s">
        <v>99</v>
      </c>
      <c r="B42" s="183"/>
      <c r="C42" s="189"/>
      <c r="D42" s="189"/>
    </row>
    <row r="43" spans="1:4" ht="13.5">
      <c r="A43" s="184" t="s">
        <v>105</v>
      </c>
      <c r="B43" s="185">
        <v>0</v>
      </c>
      <c r="C43" s="189"/>
      <c r="D43" s="189"/>
    </row>
    <row r="44" spans="1:4" ht="27">
      <c r="A44" s="184" t="s">
        <v>93</v>
      </c>
      <c r="B44" s="185">
        <v>0</v>
      </c>
      <c r="C44" s="189"/>
      <c r="D44" s="189"/>
    </row>
    <row r="45" spans="1:4" ht="41.25">
      <c r="A45" s="184" t="s">
        <v>106</v>
      </c>
      <c r="B45" s="185">
        <v>30000</v>
      </c>
      <c r="C45" s="189"/>
      <c r="D45" s="189"/>
    </row>
    <row r="46" spans="1:4" ht="13.5">
      <c r="A46" s="184" t="s">
        <v>131</v>
      </c>
      <c r="B46" s="185">
        <v>50000</v>
      </c>
      <c r="C46" s="189"/>
      <c r="D46" s="189"/>
    </row>
    <row r="47" spans="1:4" ht="27">
      <c r="A47" s="34" t="s">
        <v>220</v>
      </c>
      <c r="B47" s="185">
        <v>0</v>
      </c>
      <c r="C47" s="189"/>
      <c r="D47" s="189"/>
    </row>
    <row r="48" spans="1:4" ht="13.5">
      <c r="A48" s="34" t="s">
        <v>250</v>
      </c>
      <c r="B48" s="185">
        <v>0</v>
      </c>
      <c r="C48" s="189"/>
      <c r="D48" s="189"/>
    </row>
    <row r="49" spans="1:4" ht="13.5">
      <c r="A49" s="186" t="s">
        <v>0</v>
      </c>
      <c r="B49" s="187">
        <f>SUM(B43:B48)</f>
        <v>80000</v>
      </c>
      <c r="C49" s="249" t="s">
        <v>245</v>
      </c>
      <c r="D49" s="189"/>
    </row>
    <row r="50" spans="1:4" ht="13.5">
      <c r="A50" s="191"/>
      <c r="B50" s="190"/>
      <c r="C50" s="190"/>
      <c r="D50" s="189"/>
    </row>
    <row r="51" spans="1:4" ht="13.5">
      <c r="A51" s="392" t="s">
        <v>284</v>
      </c>
      <c r="B51" s="390"/>
      <c r="C51" s="390"/>
      <c r="D51" s="390"/>
    </row>
    <row r="53" ht="13.5">
      <c r="A53" s="181" t="s">
        <v>94</v>
      </c>
    </row>
    <row r="54" ht="13.5">
      <c r="C54" s="189"/>
    </row>
    <row r="55" spans="1:3" ht="13.5">
      <c r="A55" s="183" t="s">
        <v>99</v>
      </c>
      <c r="B55" s="183"/>
      <c r="C55" s="192"/>
    </row>
    <row r="56" spans="1:3" ht="27">
      <c r="A56" s="184" t="s">
        <v>102</v>
      </c>
      <c r="B56" s="185">
        <v>20000</v>
      </c>
      <c r="C56" s="193"/>
    </row>
    <row r="57" spans="1:3" ht="27">
      <c r="A57" s="184" t="s">
        <v>95</v>
      </c>
      <c r="B57" s="185">
        <v>20000</v>
      </c>
      <c r="C57" s="193"/>
    </row>
    <row r="58" spans="1:3" ht="27">
      <c r="A58" s="184" t="s">
        <v>100</v>
      </c>
      <c r="B58" s="185">
        <v>15000</v>
      </c>
      <c r="C58" s="193"/>
    </row>
    <row r="59" spans="1:3" ht="13.5">
      <c r="A59" s="188" t="s">
        <v>101</v>
      </c>
      <c r="B59" s="185">
        <v>5000</v>
      </c>
      <c r="C59" s="193"/>
    </row>
    <row r="60" spans="1:3" ht="13.5">
      <c r="A60" s="186" t="s">
        <v>0</v>
      </c>
      <c r="B60" s="187">
        <f>SUM(B56:B59)</f>
        <v>60000</v>
      </c>
      <c r="C60" s="249" t="s">
        <v>246</v>
      </c>
    </row>
    <row r="62" spans="1:4" ht="13.5">
      <c r="A62" s="392" t="s">
        <v>285</v>
      </c>
      <c r="B62" s="390"/>
      <c r="C62" s="390"/>
      <c r="D62" s="390"/>
    </row>
    <row r="64" ht="13.5">
      <c r="A64" s="181" t="s">
        <v>85</v>
      </c>
    </row>
    <row r="65" ht="13.5">
      <c r="C65" s="182"/>
    </row>
    <row r="66" spans="1:3" ht="13.5">
      <c r="A66" s="183" t="s">
        <v>99</v>
      </c>
      <c r="B66" s="183"/>
      <c r="C66" s="182"/>
    </row>
    <row r="67" spans="1:2" ht="13.5">
      <c r="A67" s="188" t="s">
        <v>48</v>
      </c>
      <c r="B67" s="185">
        <v>12000</v>
      </c>
    </row>
    <row r="68" spans="1:2" ht="13.5">
      <c r="A68" s="188" t="s">
        <v>104</v>
      </c>
      <c r="B68" s="185">
        <v>8000</v>
      </c>
    </row>
    <row r="69" spans="1:2" ht="13.5">
      <c r="A69" s="188" t="s">
        <v>96</v>
      </c>
      <c r="B69" s="185"/>
    </row>
    <row r="70" spans="1:2" ht="27">
      <c r="A70" s="184" t="s">
        <v>109</v>
      </c>
      <c r="B70" s="185">
        <v>0</v>
      </c>
    </row>
    <row r="71" spans="1:3" ht="13.5">
      <c r="A71" s="186" t="s">
        <v>0</v>
      </c>
      <c r="B71" s="187">
        <f>SUM(B67:B70)</f>
        <v>20000</v>
      </c>
      <c r="C71" s="249" t="s">
        <v>248</v>
      </c>
    </row>
    <row r="73" spans="1:4" ht="13.5">
      <c r="A73" s="392" t="s">
        <v>286</v>
      </c>
      <c r="B73" s="390"/>
      <c r="C73" s="390"/>
      <c r="D73" s="390"/>
    </row>
    <row r="74" spans="1:4" ht="13.5">
      <c r="A74" s="195"/>
      <c r="B74" s="196"/>
      <c r="C74" s="196"/>
      <c r="D74" s="196"/>
    </row>
    <row r="75" ht="13.5">
      <c r="A75" s="181" t="s">
        <v>86</v>
      </c>
    </row>
    <row r="77" spans="1:2" ht="13.5">
      <c r="A77" s="183" t="s">
        <v>99</v>
      </c>
      <c r="B77" s="183"/>
    </row>
    <row r="78" spans="1:4" ht="13.5">
      <c r="A78" s="188" t="s">
        <v>26</v>
      </c>
      <c r="B78" s="185">
        <v>15000</v>
      </c>
      <c r="C78" s="189"/>
      <c r="D78" s="189"/>
    </row>
    <row r="79" spans="1:4" ht="13.5">
      <c r="A79" s="188" t="s">
        <v>29</v>
      </c>
      <c r="B79" s="185">
        <v>100000</v>
      </c>
      <c r="C79" s="189"/>
      <c r="D79" s="189"/>
    </row>
    <row r="80" spans="1:4" ht="13.5">
      <c r="A80" s="188" t="s">
        <v>27</v>
      </c>
      <c r="B80" s="185">
        <v>7000</v>
      </c>
      <c r="C80" s="189"/>
      <c r="D80" s="189"/>
    </row>
    <row r="81" spans="1:4" ht="41.25">
      <c r="A81" s="184" t="s">
        <v>143</v>
      </c>
      <c r="B81" s="185">
        <v>25000</v>
      </c>
      <c r="C81" s="189"/>
      <c r="D81" s="189"/>
    </row>
    <row r="82" spans="1:4" ht="13.5">
      <c r="A82" s="188" t="s">
        <v>28</v>
      </c>
      <c r="B82" s="185">
        <v>62000</v>
      </c>
      <c r="C82" s="189"/>
      <c r="D82" s="189"/>
    </row>
    <row r="83" spans="1:4" ht="27">
      <c r="A83" s="184" t="s">
        <v>196</v>
      </c>
      <c r="B83" s="185">
        <v>60000</v>
      </c>
      <c r="C83" s="189"/>
      <c r="D83" s="189"/>
    </row>
    <row r="84" spans="1:4" ht="13.5">
      <c r="A84" s="188" t="s">
        <v>30</v>
      </c>
      <c r="B84" s="185">
        <v>75000</v>
      </c>
      <c r="C84" s="189"/>
      <c r="D84" s="189"/>
    </row>
    <row r="85" spans="1:4" ht="13.5">
      <c r="A85" s="188" t="s">
        <v>87</v>
      </c>
      <c r="B85" s="185">
        <v>30000</v>
      </c>
      <c r="C85" s="189"/>
      <c r="D85" s="189"/>
    </row>
    <row r="86" spans="1:4" ht="13.5">
      <c r="A86" s="188" t="s">
        <v>57</v>
      </c>
      <c r="B86" s="185">
        <v>2000</v>
      </c>
      <c r="C86" s="189"/>
      <c r="D86" s="189"/>
    </row>
    <row r="87" spans="1:4" ht="13.5">
      <c r="A87" s="188" t="s">
        <v>88</v>
      </c>
      <c r="B87" s="185">
        <v>10000</v>
      </c>
      <c r="C87" s="189"/>
      <c r="D87" s="189"/>
    </row>
    <row r="88" spans="1:4" ht="13.5">
      <c r="A88" s="188" t="s">
        <v>142</v>
      </c>
      <c r="B88" s="185">
        <v>10500</v>
      </c>
      <c r="C88" s="193"/>
      <c r="D88" s="189"/>
    </row>
    <row r="89" spans="1:4" ht="41.25">
      <c r="A89" s="184" t="s">
        <v>144</v>
      </c>
      <c r="B89" s="185" t="s">
        <v>135</v>
      </c>
      <c r="C89" s="389"/>
      <c r="D89" s="390"/>
    </row>
    <row r="90" spans="1:4" ht="27">
      <c r="A90" s="184" t="s">
        <v>89</v>
      </c>
      <c r="B90" s="185">
        <v>0</v>
      </c>
      <c r="C90" s="391"/>
      <c r="D90" s="348"/>
    </row>
    <row r="91" spans="1:4" ht="13.5">
      <c r="A91" s="34" t="s">
        <v>235</v>
      </c>
      <c r="B91" s="185" t="s">
        <v>135</v>
      </c>
      <c r="C91" s="189"/>
      <c r="D91" s="189"/>
    </row>
    <row r="92" spans="1:4" ht="13.5">
      <c r="A92" s="197" t="s">
        <v>0</v>
      </c>
      <c r="B92" s="187">
        <f>SUM(B78:B91)</f>
        <v>396500</v>
      </c>
      <c r="C92" s="249" t="s">
        <v>249</v>
      </c>
      <c r="D92" s="189"/>
    </row>
  </sheetData>
  <sheetProtection/>
  <mergeCells count="10">
    <mergeCell ref="C89:D90"/>
    <mergeCell ref="A2:D2"/>
    <mergeCell ref="A73:D73"/>
    <mergeCell ref="A15:D15"/>
    <mergeCell ref="A62:D62"/>
    <mergeCell ref="A23:D23"/>
    <mergeCell ref="A38:D38"/>
    <mergeCell ref="A40:D40"/>
    <mergeCell ref="A51:D51"/>
    <mergeCell ref="C13:D13"/>
  </mergeCells>
  <printOptions/>
  <pageMargins left="0.7086614173228347" right="0.7086614173228347" top="0.1968503937007874" bottom="0" header="0.31496062992125984" footer="0.31496062992125984"/>
  <pageSetup fitToHeight="2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66">
      <selection activeCell="H77" sqref="H77"/>
    </sheetView>
  </sheetViews>
  <sheetFormatPr defaultColWidth="9.140625" defaultRowHeight="15"/>
  <cols>
    <col min="1" max="1" width="4.28125" style="0" customWidth="1"/>
    <col min="2" max="2" width="27.7109375" style="0" customWidth="1"/>
    <col min="3" max="3" width="17.140625" style="0" customWidth="1"/>
    <col min="4" max="4" width="7.421875" style="0" customWidth="1"/>
    <col min="5" max="5" width="8.421875" style="0" customWidth="1"/>
    <col min="6" max="6" width="9.8515625" style="0" customWidth="1"/>
    <col min="8" max="8" width="12.00390625" style="0" customWidth="1"/>
    <col min="9" max="9" width="18.8515625" style="0" customWidth="1"/>
    <col min="10" max="10" width="12.00390625" style="0" customWidth="1"/>
  </cols>
  <sheetData>
    <row r="1" spans="2:8" ht="14.25">
      <c r="B1" s="396" t="s">
        <v>436</v>
      </c>
      <c r="C1" s="396"/>
      <c r="D1" s="396"/>
      <c r="E1" s="396"/>
      <c r="F1" s="396"/>
      <c r="G1" s="396"/>
      <c r="H1" s="396"/>
    </row>
    <row r="2" spans="1:8" ht="14.25">
      <c r="A2" s="397" t="s">
        <v>454</v>
      </c>
      <c r="B2" s="398"/>
      <c r="C2" s="398"/>
      <c r="D2" s="398"/>
      <c r="E2" s="366"/>
      <c r="F2" s="366"/>
      <c r="G2" s="366"/>
      <c r="H2" s="366"/>
    </row>
    <row r="3" ht="15" thickBot="1">
      <c r="B3" s="266"/>
    </row>
    <row r="4" spans="1:10" ht="42" thickBot="1">
      <c r="A4" s="267" t="s">
        <v>302</v>
      </c>
      <c r="B4" s="268" t="s">
        <v>303</v>
      </c>
      <c r="C4" s="269" t="s">
        <v>304</v>
      </c>
      <c r="D4" s="270" t="s">
        <v>305</v>
      </c>
      <c r="E4" s="271" t="s">
        <v>306</v>
      </c>
      <c r="F4" s="271" t="s">
        <v>307</v>
      </c>
      <c r="G4" s="272" t="s">
        <v>308</v>
      </c>
      <c r="H4" s="273"/>
      <c r="J4" s="273"/>
    </row>
    <row r="5" spans="1:10" ht="14.25">
      <c r="A5" s="274">
        <v>1</v>
      </c>
      <c r="B5" s="275" t="s">
        <v>309</v>
      </c>
      <c r="C5" s="275" t="s">
        <v>310</v>
      </c>
      <c r="D5" s="276" t="s">
        <v>311</v>
      </c>
      <c r="E5" s="142">
        <v>19</v>
      </c>
      <c r="F5" s="155">
        <f>E5*50</f>
        <v>950</v>
      </c>
      <c r="G5" s="277"/>
      <c r="H5" s="278"/>
      <c r="I5" s="68"/>
      <c r="J5" s="278"/>
    </row>
    <row r="6" spans="1:10" ht="14.25">
      <c r="A6" s="279">
        <f>A5+1</f>
        <v>2</v>
      </c>
      <c r="B6" s="280" t="s">
        <v>312</v>
      </c>
      <c r="C6" s="280" t="s">
        <v>313</v>
      </c>
      <c r="D6" s="281"/>
      <c r="E6" s="1"/>
      <c r="F6" s="1"/>
      <c r="G6" s="282">
        <v>3700</v>
      </c>
      <c r="H6" s="278"/>
      <c r="I6" s="68"/>
      <c r="J6" s="278"/>
    </row>
    <row r="7" spans="1:10" ht="27">
      <c r="A7" s="279">
        <f aca="true" t="shared" si="0" ref="A7:A70">A6+1</f>
        <v>3</v>
      </c>
      <c r="B7" s="280" t="s">
        <v>314</v>
      </c>
      <c r="C7" s="280" t="s">
        <v>315</v>
      </c>
      <c r="D7" s="281" t="s">
        <v>316</v>
      </c>
      <c r="E7" s="1">
        <v>18</v>
      </c>
      <c r="F7" s="1">
        <f aca="true" t="shared" si="1" ref="F7:F67">E7*50</f>
        <v>900</v>
      </c>
      <c r="G7" s="283">
        <v>3700</v>
      </c>
      <c r="H7" s="278"/>
      <c r="I7" s="68"/>
      <c r="J7" s="278"/>
    </row>
    <row r="8" spans="1:10" ht="14.25">
      <c r="A8" s="279">
        <f t="shared" si="0"/>
        <v>4</v>
      </c>
      <c r="B8" s="280" t="s">
        <v>317</v>
      </c>
      <c r="C8" s="280" t="s">
        <v>318</v>
      </c>
      <c r="D8" s="281" t="s">
        <v>319</v>
      </c>
      <c r="E8" s="1">
        <v>20</v>
      </c>
      <c r="F8" s="1">
        <f t="shared" si="1"/>
        <v>1000</v>
      </c>
      <c r="G8" s="282"/>
      <c r="H8" s="278"/>
      <c r="I8" s="68"/>
      <c r="J8" s="278"/>
    </row>
    <row r="9" spans="1:10" ht="14.25">
      <c r="A9" s="279">
        <f t="shared" si="0"/>
        <v>5</v>
      </c>
      <c r="B9" s="280" t="s">
        <v>320</v>
      </c>
      <c r="C9" s="280" t="s">
        <v>321</v>
      </c>
      <c r="D9" s="281" t="s">
        <v>322</v>
      </c>
      <c r="E9" s="1">
        <v>20</v>
      </c>
      <c r="F9" s="1">
        <f t="shared" si="1"/>
        <v>1000</v>
      </c>
      <c r="G9" s="282"/>
      <c r="H9" s="278"/>
      <c r="I9" s="68"/>
      <c r="J9" s="278"/>
    </row>
    <row r="10" spans="1:10" ht="14.25">
      <c r="A10" s="279">
        <f t="shared" si="0"/>
        <v>6</v>
      </c>
      <c r="B10" s="280" t="s">
        <v>323</v>
      </c>
      <c r="C10" s="280" t="s">
        <v>324</v>
      </c>
      <c r="D10" s="281"/>
      <c r="E10" s="1"/>
      <c r="F10" s="1"/>
      <c r="G10" s="283">
        <v>3700</v>
      </c>
      <c r="H10" s="278"/>
      <c r="I10" s="68"/>
      <c r="J10" s="278"/>
    </row>
    <row r="11" spans="1:10" ht="14.25">
      <c r="A11" s="279">
        <f t="shared" si="0"/>
        <v>7</v>
      </c>
      <c r="B11" s="280" t="s">
        <v>325</v>
      </c>
      <c r="C11" s="280" t="s">
        <v>326</v>
      </c>
      <c r="D11" s="281" t="s">
        <v>327</v>
      </c>
      <c r="E11" s="1">
        <v>19</v>
      </c>
      <c r="F11" s="1">
        <f t="shared" si="1"/>
        <v>950</v>
      </c>
      <c r="G11" s="282"/>
      <c r="H11" s="278"/>
      <c r="I11" s="68"/>
      <c r="J11" s="278"/>
    </row>
    <row r="12" spans="1:10" ht="14.25">
      <c r="A12" s="279">
        <f t="shared" si="0"/>
        <v>8</v>
      </c>
      <c r="B12" s="280" t="s">
        <v>450</v>
      </c>
      <c r="C12" s="280" t="s">
        <v>328</v>
      </c>
      <c r="D12" s="281" t="s">
        <v>329</v>
      </c>
      <c r="E12" s="1">
        <v>14</v>
      </c>
      <c r="F12" s="1">
        <f t="shared" si="1"/>
        <v>700</v>
      </c>
      <c r="G12" s="282"/>
      <c r="H12" s="278"/>
      <c r="I12" s="68"/>
      <c r="J12" s="278"/>
    </row>
    <row r="13" spans="1:10" ht="14.25">
      <c r="A13" s="279">
        <f t="shared" si="0"/>
        <v>9</v>
      </c>
      <c r="B13" s="280" t="s">
        <v>330</v>
      </c>
      <c r="C13" s="280" t="s">
        <v>331</v>
      </c>
      <c r="D13" s="281" t="s">
        <v>332</v>
      </c>
      <c r="E13" s="1">
        <v>16</v>
      </c>
      <c r="F13" s="1">
        <f t="shared" si="1"/>
        <v>800</v>
      </c>
      <c r="G13" s="283">
        <v>3700</v>
      </c>
      <c r="H13" s="278"/>
      <c r="I13" s="68"/>
      <c r="J13" s="278"/>
    </row>
    <row r="14" spans="1:10" ht="14.25">
      <c r="A14" s="279">
        <f t="shared" si="0"/>
        <v>10</v>
      </c>
      <c r="B14" s="280" t="s">
        <v>333</v>
      </c>
      <c r="C14" s="280" t="s">
        <v>334</v>
      </c>
      <c r="D14" s="281" t="s">
        <v>335</v>
      </c>
      <c r="E14" s="1">
        <v>17</v>
      </c>
      <c r="F14" s="1">
        <f t="shared" si="1"/>
        <v>850</v>
      </c>
      <c r="G14" s="282"/>
      <c r="H14" s="278"/>
      <c r="I14" s="68"/>
      <c r="J14" s="278"/>
    </row>
    <row r="15" spans="1:10" ht="27">
      <c r="A15" s="279">
        <f t="shared" si="0"/>
        <v>11</v>
      </c>
      <c r="B15" s="280" t="s">
        <v>336</v>
      </c>
      <c r="C15" s="280" t="s">
        <v>326</v>
      </c>
      <c r="D15" s="281" t="s">
        <v>337</v>
      </c>
      <c r="E15" s="1">
        <v>26</v>
      </c>
      <c r="F15" s="1">
        <f t="shared" si="1"/>
        <v>1300</v>
      </c>
      <c r="G15" s="282"/>
      <c r="H15" s="278"/>
      <c r="I15" s="68"/>
      <c r="J15" s="278"/>
    </row>
    <row r="16" spans="1:10" ht="14.25">
      <c r="A16" s="279">
        <f t="shared" si="0"/>
        <v>12</v>
      </c>
      <c r="B16" s="280" t="s">
        <v>437</v>
      </c>
      <c r="C16" s="280" t="s">
        <v>324</v>
      </c>
      <c r="D16" s="281"/>
      <c r="E16" s="1"/>
      <c r="F16" s="1"/>
      <c r="G16" s="282">
        <v>3700</v>
      </c>
      <c r="H16" s="278"/>
      <c r="I16" s="68"/>
      <c r="J16" s="278"/>
    </row>
    <row r="17" spans="1:10" ht="27">
      <c r="A17" s="279">
        <f t="shared" si="0"/>
        <v>13</v>
      </c>
      <c r="B17" s="280" t="s">
        <v>338</v>
      </c>
      <c r="C17" s="280" t="s">
        <v>339</v>
      </c>
      <c r="D17" s="281" t="s">
        <v>340</v>
      </c>
      <c r="E17" s="1">
        <v>30</v>
      </c>
      <c r="F17" s="1">
        <f t="shared" si="1"/>
        <v>1500</v>
      </c>
      <c r="G17" s="283">
        <v>3700</v>
      </c>
      <c r="H17" s="278"/>
      <c r="I17" s="68"/>
      <c r="J17" s="278"/>
    </row>
    <row r="18" spans="1:10" ht="14.25">
      <c r="A18" s="279">
        <f t="shared" si="0"/>
        <v>14</v>
      </c>
      <c r="B18" s="280" t="s">
        <v>341</v>
      </c>
      <c r="C18" s="280" t="s">
        <v>321</v>
      </c>
      <c r="D18" s="281" t="s">
        <v>342</v>
      </c>
      <c r="E18" s="1">
        <v>30</v>
      </c>
      <c r="F18" s="1">
        <f>E18*50-1000</f>
        <v>500</v>
      </c>
      <c r="G18" s="282"/>
      <c r="H18" s="278"/>
      <c r="I18" s="68"/>
      <c r="J18" s="278"/>
    </row>
    <row r="19" spans="1:10" ht="14.25">
      <c r="A19" s="279">
        <f t="shared" si="0"/>
        <v>15</v>
      </c>
      <c r="B19" s="280" t="s">
        <v>343</v>
      </c>
      <c r="C19" s="280" t="s">
        <v>344</v>
      </c>
      <c r="D19" s="281" t="s">
        <v>345</v>
      </c>
      <c r="E19" s="1">
        <v>24</v>
      </c>
      <c r="F19" s="11">
        <v>500</v>
      </c>
      <c r="G19" s="282"/>
      <c r="H19" s="68"/>
      <c r="J19" s="68"/>
    </row>
    <row r="20" spans="1:10" ht="14.25">
      <c r="A20" s="279">
        <f t="shared" si="0"/>
        <v>16</v>
      </c>
      <c r="B20" s="280" t="s">
        <v>346</v>
      </c>
      <c r="C20" s="280" t="s">
        <v>347</v>
      </c>
      <c r="D20" s="281" t="s">
        <v>322</v>
      </c>
      <c r="E20" s="1">
        <v>20</v>
      </c>
      <c r="F20" s="1">
        <f t="shared" si="1"/>
        <v>1000</v>
      </c>
      <c r="G20" s="282"/>
      <c r="H20" s="68"/>
      <c r="J20" s="68"/>
    </row>
    <row r="21" spans="1:10" ht="14.25">
      <c r="A21" s="279">
        <f t="shared" si="0"/>
        <v>17</v>
      </c>
      <c r="B21" s="280" t="s">
        <v>348</v>
      </c>
      <c r="C21" s="280" t="s">
        <v>318</v>
      </c>
      <c r="D21" s="281" t="s">
        <v>322</v>
      </c>
      <c r="E21" s="1">
        <v>20</v>
      </c>
      <c r="F21" s="1">
        <f t="shared" si="1"/>
        <v>1000</v>
      </c>
      <c r="G21" s="282"/>
      <c r="H21" s="68"/>
      <c r="J21" s="68"/>
    </row>
    <row r="22" spans="1:10" ht="14.25">
      <c r="A22" s="279">
        <f t="shared" si="0"/>
        <v>18</v>
      </c>
      <c r="B22" s="284" t="s">
        <v>349</v>
      </c>
      <c r="C22" s="280" t="s">
        <v>328</v>
      </c>
      <c r="D22" s="281" t="s">
        <v>350</v>
      </c>
      <c r="E22" s="1">
        <v>16</v>
      </c>
      <c r="F22" s="1">
        <f t="shared" si="1"/>
        <v>800</v>
      </c>
      <c r="G22" s="282"/>
      <c r="H22" s="68"/>
      <c r="J22" s="68"/>
    </row>
    <row r="23" spans="1:10" ht="14.25">
      <c r="A23" s="279">
        <f t="shared" si="0"/>
        <v>19</v>
      </c>
      <c r="B23" s="280" t="s">
        <v>351</v>
      </c>
      <c r="C23" s="280" t="s">
        <v>334</v>
      </c>
      <c r="D23" s="281" t="s">
        <v>352</v>
      </c>
      <c r="E23" s="1">
        <v>14</v>
      </c>
      <c r="F23" s="1">
        <f t="shared" si="1"/>
        <v>700</v>
      </c>
      <c r="G23" s="282"/>
      <c r="H23" s="68"/>
      <c r="J23" s="68"/>
    </row>
    <row r="24" spans="1:10" ht="14.25">
      <c r="A24" s="279">
        <f t="shared" si="0"/>
        <v>20</v>
      </c>
      <c r="B24" s="280" t="s">
        <v>353</v>
      </c>
      <c r="C24" s="280" t="s">
        <v>318</v>
      </c>
      <c r="D24" s="281" t="s">
        <v>354</v>
      </c>
      <c r="E24" s="1">
        <v>20</v>
      </c>
      <c r="F24" s="1">
        <f t="shared" si="1"/>
        <v>1000</v>
      </c>
      <c r="G24" s="282"/>
      <c r="H24" s="68"/>
      <c r="J24" s="68"/>
    </row>
    <row r="25" spans="1:10" ht="14.25">
      <c r="A25" s="279">
        <f t="shared" si="0"/>
        <v>21</v>
      </c>
      <c r="B25" s="280" t="s">
        <v>355</v>
      </c>
      <c r="C25" s="280" t="s">
        <v>356</v>
      </c>
      <c r="D25" s="281" t="s">
        <v>357</v>
      </c>
      <c r="E25" s="1">
        <v>17</v>
      </c>
      <c r="F25" s="1">
        <f t="shared" si="1"/>
        <v>850</v>
      </c>
      <c r="G25" s="282"/>
      <c r="H25" s="68"/>
      <c r="J25" s="68"/>
    </row>
    <row r="26" spans="1:10" ht="14.25">
      <c r="A26" s="279">
        <f t="shared" si="0"/>
        <v>22</v>
      </c>
      <c r="B26" s="280" t="s">
        <v>358</v>
      </c>
      <c r="C26" s="280" t="s">
        <v>359</v>
      </c>
      <c r="D26" s="281" t="s">
        <v>360</v>
      </c>
      <c r="E26" s="1">
        <v>20</v>
      </c>
      <c r="F26" s="1">
        <f>E26*50+500</f>
        <v>1500</v>
      </c>
      <c r="G26" s="282"/>
      <c r="H26" s="68"/>
      <c r="J26" s="68"/>
    </row>
    <row r="27" spans="1:10" ht="14.25">
      <c r="A27" s="279">
        <f t="shared" si="0"/>
        <v>23</v>
      </c>
      <c r="B27" s="280" t="s">
        <v>361</v>
      </c>
      <c r="C27" s="280" t="s">
        <v>344</v>
      </c>
      <c r="D27" s="281" t="s">
        <v>362</v>
      </c>
      <c r="E27" s="1">
        <v>20</v>
      </c>
      <c r="F27" s="1">
        <f t="shared" si="1"/>
        <v>1000</v>
      </c>
      <c r="G27" s="282"/>
      <c r="H27" s="68"/>
      <c r="J27" s="68"/>
    </row>
    <row r="28" spans="1:10" ht="14.25">
      <c r="A28" s="279">
        <f t="shared" si="0"/>
        <v>24</v>
      </c>
      <c r="B28" s="280" t="s">
        <v>363</v>
      </c>
      <c r="C28" s="280" t="s">
        <v>364</v>
      </c>
      <c r="D28" s="281" t="s">
        <v>365</v>
      </c>
      <c r="E28" s="1">
        <v>20</v>
      </c>
      <c r="F28" s="1">
        <f t="shared" si="1"/>
        <v>1000</v>
      </c>
      <c r="G28" s="282"/>
      <c r="H28" s="68"/>
      <c r="J28" s="68"/>
    </row>
    <row r="29" spans="1:10" ht="14.25">
      <c r="A29" s="279">
        <f t="shared" si="0"/>
        <v>25</v>
      </c>
      <c r="B29" s="280" t="s">
        <v>366</v>
      </c>
      <c r="C29" s="280" t="s">
        <v>364</v>
      </c>
      <c r="D29" s="281" t="s">
        <v>367</v>
      </c>
      <c r="E29" s="1">
        <v>20</v>
      </c>
      <c r="F29" s="1">
        <f t="shared" si="1"/>
        <v>1000</v>
      </c>
      <c r="G29" s="282"/>
      <c r="H29" s="68"/>
      <c r="J29" s="68"/>
    </row>
    <row r="30" spans="1:10" ht="14.25">
      <c r="A30" s="279">
        <f t="shared" si="0"/>
        <v>26</v>
      </c>
      <c r="B30" s="280" t="s">
        <v>368</v>
      </c>
      <c r="C30" s="280" t="s">
        <v>369</v>
      </c>
      <c r="D30" s="281" t="s">
        <v>370</v>
      </c>
      <c r="E30" s="1">
        <v>30</v>
      </c>
      <c r="F30" s="1">
        <f t="shared" si="1"/>
        <v>1500</v>
      </c>
      <c r="G30" s="282"/>
      <c r="H30" s="68"/>
      <c r="J30" s="68"/>
    </row>
    <row r="31" spans="1:10" ht="19.5" customHeight="1">
      <c r="A31" s="279">
        <f t="shared" si="0"/>
        <v>27</v>
      </c>
      <c r="B31" s="280" t="s">
        <v>371</v>
      </c>
      <c r="C31" s="280" t="s">
        <v>372</v>
      </c>
      <c r="D31" s="281" t="s">
        <v>373</v>
      </c>
      <c r="E31" s="1">
        <v>7</v>
      </c>
      <c r="F31" s="1">
        <f t="shared" si="1"/>
        <v>350</v>
      </c>
      <c r="G31" s="282"/>
      <c r="H31" s="68"/>
      <c r="J31" s="68"/>
    </row>
    <row r="32" spans="1:10" ht="14.25">
      <c r="A32" s="279">
        <f t="shared" si="0"/>
        <v>28</v>
      </c>
      <c r="B32" s="280" t="s">
        <v>374</v>
      </c>
      <c r="C32" s="280" t="s">
        <v>364</v>
      </c>
      <c r="D32" s="281" t="s">
        <v>375</v>
      </c>
      <c r="E32" s="1">
        <v>20</v>
      </c>
      <c r="F32" s="1">
        <f t="shared" si="1"/>
        <v>1000</v>
      </c>
      <c r="G32" s="282"/>
      <c r="H32" s="68"/>
      <c r="J32" s="68"/>
    </row>
    <row r="33" spans="1:10" ht="14.25">
      <c r="A33" s="279">
        <f t="shared" si="0"/>
        <v>29</v>
      </c>
      <c r="B33" s="280" t="s">
        <v>376</v>
      </c>
      <c r="C33" s="280" t="s">
        <v>377</v>
      </c>
      <c r="D33" s="281" t="s">
        <v>378</v>
      </c>
      <c r="E33" s="1">
        <v>28</v>
      </c>
      <c r="F33" s="1">
        <f t="shared" si="1"/>
        <v>1400</v>
      </c>
      <c r="G33" s="282"/>
      <c r="H33" s="68"/>
      <c r="J33" s="68"/>
    </row>
    <row r="34" spans="1:10" ht="27.75" customHeight="1">
      <c r="A34" s="279">
        <f t="shared" si="0"/>
        <v>30</v>
      </c>
      <c r="B34" s="280" t="s">
        <v>379</v>
      </c>
      <c r="C34" s="280" t="s">
        <v>438</v>
      </c>
      <c r="D34" s="281" t="s">
        <v>453</v>
      </c>
      <c r="E34" s="1">
        <v>32</v>
      </c>
      <c r="F34" s="1">
        <f t="shared" si="1"/>
        <v>1600</v>
      </c>
      <c r="G34" s="283"/>
      <c r="H34" s="68"/>
      <c r="J34" s="68"/>
    </row>
    <row r="35" spans="1:10" ht="14.25">
      <c r="A35" s="279">
        <f t="shared" si="0"/>
        <v>31</v>
      </c>
      <c r="B35" s="280" t="s">
        <v>380</v>
      </c>
      <c r="C35" s="280" t="s">
        <v>321</v>
      </c>
      <c r="D35" s="281" t="s">
        <v>354</v>
      </c>
      <c r="E35" s="1">
        <v>20</v>
      </c>
      <c r="F35" s="1">
        <f t="shared" si="1"/>
        <v>1000</v>
      </c>
      <c r="G35" s="282"/>
      <c r="H35" s="68"/>
      <c r="J35" s="68"/>
    </row>
    <row r="36" spans="1:10" ht="14.25">
      <c r="A36" s="279">
        <f t="shared" si="0"/>
        <v>32</v>
      </c>
      <c r="B36" s="280" t="s">
        <v>381</v>
      </c>
      <c r="C36" s="280" t="s">
        <v>382</v>
      </c>
      <c r="D36" s="281" t="s">
        <v>329</v>
      </c>
      <c r="E36" s="1">
        <v>13</v>
      </c>
      <c r="F36" s="1">
        <f t="shared" si="1"/>
        <v>650</v>
      </c>
      <c r="G36" s="282"/>
      <c r="H36" s="68"/>
      <c r="J36" s="68"/>
    </row>
    <row r="37" spans="1:10" ht="14.25">
      <c r="A37" s="279">
        <f t="shared" si="0"/>
        <v>33</v>
      </c>
      <c r="B37" s="280" t="s">
        <v>383</v>
      </c>
      <c r="C37" s="280" t="s">
        <v>356</v>
      </c>
      <c r="D37" s="281" t="s">
        <v>365</v>
      </c>
      <c r="E37" s="1">
        <v>20</v>
      </c>
      <c r="F37" s="1">
        <f t="shared" si="1"/>
        <v>1000</v>
      </c>
      <c r="G37" s="282"/>
      <c r="H37" s="68"/>
      <c r="J37" s="68"/>
    </row>
    <row r="38" spans="1:10" ht="27">
      <c r="A38" s="279">
        <f t="shared" si="0"/>
        <v>34</v>
      </c>
      <c r="B38" s="280" t="s">
        <v>384</v>
      </c>
      <c r="C38" s="280" t="s">
        <v>385</v>
      </c>
      <c r="D38" s="281" t="s">
        <v>386</v>
      </c>
      <c r="E38" s="1">
        <v>20</v>
      </c>
      <c r="F38" s="1">
        <f t="shared" si="1"/>
        <v>1000</v>
      </c>
      <c r="G38" s="282"/>
      <c r="H38" s="68"/>
      <c r="J38" s="68"/>
    </row>
    <row r="39" spans="1:10" ht="14.25">
      <c r="A39" s="279">
        <f t="shared" si="0"/>
        <v>35</v>
      </c>
      <c r="B39" s="280" t="s">
        <v>387</v>
      </c>
      <c r="C39" s="280" t="s">
        <v>347</v>
      </c>
      <c r="D39" s="281" t="s">
        <v>388</v>
      </c>
      <c r="E39" s="1">
        <v>25</v>
      </c>
      <c r="F39" s="1">
        <f t="shared" si="1"/>
        <v>1250</v>
      </c>
      <c r="G39" s="282"/>
      <c r="H39" s="68"/>
      <c r="J39" s="68"/>
    </row>
    <row r="40" spans="1:10" ht="14.25">
      <c r="A40" s="279">
        <f t="shared" si="0"/>
        <v>36</v>
      </c>
      <c r="B40" s="280"/>
      <c r="C40" s="280" t="s">
        <v>389</v>
      </c>
      <c r="D40" s="281" t="s">
        <v>390</v>
      </c>
      <c r="E40" s="1">
        <v>11</v>
      </c>
      <c r="F40" s="1"/>
      <c r="G40" s="282"/>
      <c r="H40" s="68"/>
      <c r="J40" s="68"/>
    </row>
    <row r="41" spans="1:10" ht="14.25">
      <c r="A41" s="279">
        <f t="shared" si="0"/>
        <v>37</v>
      </c>
      <c r="B41" s="280" t="s">
        <v>391</v>
      </c>
      <c r="C41" s="280" t="s">
        <v>321</v>
      </c>
      <c r="D41" s="281" t="s">
        <v>319</v>
      </c>
      <c r="E41" s="1">
        <v>19</v>
      </c>
      <c r="F41" s="1">
        <f t="shared" si="1"/>
        <v>950</v>
      </c>
      <c r="G41" s="282"/>
      <c r="H41" s="68"/>
      <c r="J41" s="68"/>
    </row>
    <row r="42" spans="1:10" ht="14.25">
      <c r="A42" s="279">
        <f t="shared" si="0"/>
        <v>38</v>
      </c>
      <c r="B42" s="280" t="s">
        <v>392</v>
      </c>
      <c r="C42" s="280" t="s">
        <v>334</v>
      </c>
      <c r="D42" s="281" t="s">
        <v>393</v>
      </c>
      <c r="E42" s="1">
        <v>17</v>
      </c>
      <c r="F42" s="1">
        <f t="shared" si="1"/>
        <v>850</v>
      </c>
      <c r="G42" s="282"/>
      <c r="H42" s="68"/>
      <c r="J42" s="68"/>
    </row>
    <row r="43" spans="1:10" ht="14.25">
      <c r="A43" s="279">
        <f t="shared" si="0"/>
        <v>39</v>
      </c>
      <c r="B43" s="280" t="s">
        <v>394</v>
      </c>
      <c r="C43" s="280" t="s">
        <v>356</v>
      </c>
      <c r="D43" s="281" t="s">
        <v>395</v>
      </c>
      <c r="E43" s="1">
        <v>20</v>
      </c>
      <c r="F43" s="11">
        <f>(50*E43)/2</f>
        <v>500</v>
      </c>
      <c r="G43" s="282"/>
      <c r="H43" s="68"/>
      <c r="J43" s="68"/>
    </row>
    <row r="44" spans="1:10" ht="14.25">
      <c r="A44" s="279">
        <f t="shared" si="0"/>
        <v>40</v>
      </c>
      <c r="B44" s="280" t="s">
        <v>396</v>
      </c>
      <c r="C44" s="280" t="s">
        <v>397</v>
      </c>
      <c r="D44" s="281" t="s">
        <v>322</v>
      </c>
      <c r="E44" s="1">
        <v>20</v>
      </c>
      <c r="F44" s="1">
        <f t="shared" si="1"/>
        <v>1000</v>
      </c>
      <c r="G44" s="282"/>
      <c r="H44" s="68"/>
      <c r="J44" s="68"/>
    </row>
    <row r="45" spans="1:10" ht="14.25">
      <c r="A45" s="279">
        <f t="shared" si="0"/>
        <v>41</v>
      </c>
      <c r="B45" s="280" t="s">
        <v>398</v>
      </c>
      <c r="C45" s="280" t="s">
        <v>324</v>
      </c>
      <c r="D45" s="281"/>
      <c r="E45" s="1"/>
      <c r="F45" s="1"/>
      <c r="G45" s="283">
        <v>3700</v>
      </c>
      <c r="H45" s="68"/>
      <c r="J45" s="68"/>
    </row>
    <row r="46" spans="1:10" ht="27">
      <c r="A46" s="279">
        <f t="shared" si="0"/>
        <v>42</v>
      </c>
      <c r="B46" s="280" t="s">
        <v>399</v>
      </c>
      <c r="C46" s="280" t="s">
        <v>385</v>
      </c>
      <c r="D46" s="281" t="s">
        <v>400</v>
      </c>
      <c r="E46" s="1">
        <v>18</v>
      </c>
      <c r="F46" s="1">
        <f t="shared" si="1"/>
        <v>900</v>
      </c>
      <c r="G46" s="282"/>
      <c r="H46" s="68"/>
      <c r="J46" s="68"/>
    </row>
    <row r="47" spans="1:10" ht="14.25">
      <c r="A47" s="279">
        <f t="shared" si="0"/>
        <v>43</v>
      </c>
      <c r="B47" s="280" t="s">
        <v>401</v>
      </c>
      <c r="C47" s="280" t="s">
        <v>402</v>
      </c>
      <c r="D47" s="281" t="s">
        <v>354</v>
      </c>
      <c r="E47" s="1">
        <v>20</v>
      </c>
      <c r="F47" s="1">
        <f t="shared" si="1"/>
        <v>1000</v>
      </c>
      <c r="G47" s="282"/>
      <c r="H47" s="68"/>
      <c r="J47" s="68"/>
    </row>
    <row r="48" spans="1:10" ht="14.25">
      <c r="A48" s="279">
        <f t="shared" si="0"/>
        <v>44</v>
      </c>
      <c r="B48" s="284"/>
      <c r="C48" s="280" t="s">
        <v>403</v>
      </c>
      <c r="D48" s="281" t="s">
        <v>404</v>
      </c>
      <c r="E48" s="1">
        <v>17</v>
      </c>
      <c r="F48" s="1"/>
      <c r="G48" s="283"/>
      <c r="H48" s="68"/>
      <c r="J48" s="68"/>
    </row>
    <row r="49" spans="1:10" ht="14.25">
      <c r="A49" s="279">
        <f t="shared" si="0"/>
        <v>45</v>
      </c>
      <c r="B49" s="280"/>
      <c r="C49" s="280" t="s">
        <v>347</v>
      </c>
      <c r="D49" s="281" t="s">
        <v>319</v>
      </c>
      <c r="E49" s="1">
        <v>20</v>
      </c>
      <c r="F49" s="1"/>
      <c r="G49" s="282"/>
      <c r="H49" s="68"/>
      <c r="J49" s="68"/>
    </row>
    <row r="50" spans="1:10" ht="14.25">
      <c r="A50" s="279">
        <f t="shared" si="0"/>
        <v>46</v>
      </c>
      <c r="B50" s="280" t="s">
        <v>405</v>
      </c>
      <c r="C50" s="280" t="s">
        <v>324</v>
      </c>
      <c r="D50" s="281"/>
      <c r="E50" s="1"/>
      <c r="F50" s="1"/>
      <c r="G50" s="283">
        <v>3700</v>
      </c>
      <c r="H50" s="68"/>
      <c r="J50" s="68"/>
    </row>
    <row r="51" spans="1:10" ht="14.25">
      <c r="A51" s="279">
        <f t="shared" si="0"/>
        <v>47</v>
      </c>
      <c r="B51" s="280" t="s">
        <v>406</v>
      </c>
      <c r="C51" s="280" t="s">
        <v>402</v>
      </c>
      <c r="D51" s="281" t="s">
        <v>322</v>
      </c>
      <c r="E51" s="1">
        <v>20</v>
      </c>
      <c r="F51" s="1">
        <f t="shared" si="1"/>
        <v>1000</v>
      </c>
      <c r="G51" s="282"/>
      <c r="H51" s="68"/>
      <c r="J51" s="68"/>
    </row>
    <row r="52" spans="1:10" ht="27">
      <c r="A52" s="279">
        <f t="shared" si="0"/>
        <v>48</v>
      </c>
      <c r="B52" s="280" t="s">
        <v>407</v>
      </c>
      <c r="C52" s="280" t="s">
        <v>328</v>
      </c>
      <c r="D52" s="281" t="s">
        <v>408</v>
      </c>
      <c r="E52" s="1">
        <v>20</v>
      </c>
      <c r="F52" s="1">
        <f t="shared" si="1"/>
        <v>1000</v>
      </c>
      <c r="G52" s="282"/>
      <c r="H52" s="68"/>
      <c r="J52" s="68"/>
    </row>
    <row r="53" spans="1:10" ht="14.25">
      <c r="A53" s="279">
        <f t="shared" si="0"/>
        <v>49</v>
      </c>
      <c r="B53" s="280" t="s">
        <v>409</v>
      </c>
      <c r="C53" s="280" t="s">
        <v>318</v>
      </c>
      <c r="D53" s="281" t="s">
        <v>410</v>
      </c>
      <c r="E53" s="1">
        <v>36</v>
      </c>
      <c r="F53" s="1">
        <f t="shared" si="1"/>
        <v>1800</v>
      </c>
      <c r="G53" s="282"/>
      <c r="H53" s="68"/>
      <c r="J53" s="68"/>
    </row>
    <row r="54" spans="1:10" ht="14.25">
      <c r="A54" s="279">
        <f t="shared" si="0"/>
        <v>50</v>
      </c>
      <c r="B54" s="280" t="s">
        <v>411</v>
      </c>
      <c r="C54" s="280" t="s">
        <v>356</v>
      </c>
      <c r="D54" s="281" t="s">
        <v>375</v>
      </c>
      <c r="E54" s="1">
        <v>20</v>
      </c>
      <c r="F54" s="1">
        <f t="shared" si="1"/>
        <v>1000</v>
      </c>
      <c r="G54" s="282"/>
      <c r="H54" s="68"/>
      <c r="J54" s="68"/>
    </row>
    <row r="55" spans="1:10" ht="27">
      <c r="A55" s="279">
        <f t="shared" si="0"/>
        <v>51</v>
      </c>
      <c r="B55" s="280" t="s">
        <v>412</v>
      </c>
      <c r="C55" s="280" t="s">
        <v>347</v>
      </c>
      <c r="D55" s="281" t="s">
        <v>354</v>
      </c>
      <c r="E55" s="1">
        <v>20</v>
      </c>
      <c r="F55" s="1">
        <f>E55*50</f>
        <v>1000</v>
      </c>
      <c r="G55" s="282"/>
      <c r="H55" s="68"/>
      <c r="J55" s="68"/>
    </row>
    <row r="56" spans="1:10" ht="27">
      <c r="A56" s="279">
        <f t="shared" si="0"/>
        <v>52</v>
      </c>
      <c r="B56" s="280" t="s">
        <v>413</v>
      </c>
      <c r="C56" s="280" t="s">
        <v>397</v>
      </c>
      <c r="D56" s="281" t="s">
        <v>414</v>
      </c>
      <c r="E56" s="1">
        <v>34</v>
      </c>
      <c r="F56" s="1">
        <f t="shared" si="1"/>
        <v>1700</v>
      </c>
      <c r="G56" s="282"/>
      <c r="H56" s="68"/>
      <c r="J56" s="68"/>
    </row>
    <row r="57" spans="1:10" ht="14.25">
      <c r="A57" s="279">
        <f t="shared" si="0"/>
        <v>53</v>
      </c>
      <c r="B57" s="280" t="s">
        <v>415</v>
      </c>
      <c r="C57" s="280" t="s">
        <v>402</v>
      </c>
      <c r="D57" s="281" t="s">
        <v>319</v>
      </c>
      <c r="E57" s="1">
        <v>20</v>
      </c>
      <c r="F57" s="1">
        <f t="shared" si="1"/>
        <v>1000</v>
      </c>
      <c r="G57" s="282"/>
      <c r="H57" s="68"/>
      <c r="J57" s="68"/>
    </row>
    <row r="58" spans="1:10" ht="14.25">
      <c r="A58" s="279">
        <f t="shared" si="0"/>
        <v>54</v>
      </c>
      <c r="B58" s="280" t="s">
        <v>416</v>
      </c>
      <c r="C58" s="280" t="s">
        <v>417</v>
      </c>
      <c r="D58" s="281" t="s">
        <v>418</v>
      </c>
      <c r="E58" s="1">
        <v>26</v>
      </c>
      <c r="F58" s="1">
        <f>E58*50</f>
        <v>1300</v>
      </c>
      <c r="G58" s="282"/>
      <c r="H58" s="68"/>
      <c r="J58" s="68"/>
    </row>
    <row r="59" spans="1:10" ht="14.25">
      <c r="A59" s="279">
        <f t="shared" si="0"/>
        <v>55</v>
      </c>
      <c r="B59" s="280" t="s">
        <v>419</v>
      </c>
      <c r="C59" s="280" t="s">
        <v>397</v>
      </c>
      <c r="D59" s="281" t="s">
        <v>319</v>
      </c>
      <c r="E59" s="1">
        <v>20</v>
      </c>
      <c r="F59" s="1">
        <f>E59*50</f>
        <v>1000</v>
      </c>
      <c r="G59" s="282"/>
      <c r="H59" s="68"/>
      <c r="J59" s="68"/>
    </row>
    <row r="60" spans="1:10" ht="14.25">
      <c r="A60" s="279">
        <f t="shared" si="0"/>
        <v>56</v>
      </c>
      <c r="B60" s="280"/>
      <c r="C60" s="280" t="s">
        <v>389</v>
      </c>
      <c r="D60" s="281" t="s">
        <v>420</v>
      </c>
      <c r="E60" s="1">
        <v>20</v>
      </c>
      <c r="F60" s="1"/>
      <c r="G60" s="282"/>
      <c r="H60" s="68"/>
      <c r="J60" s="68"/>
    </row>
    <row r="61" spans="1:10" ht="14.25">
      <c r="A61" s="279">
        <f t="shared" si="0"/>
        <v>57</v>
      </c>
      <c r="B61" s="280"/>
      <c r="C61" s="280" t="s">
        <v>397</v>
      </c>
      <c r="D61" s="281" t="s">
        <v>354</v>
      </c>
      <c r="E61" s="1">
        <v>20</v>
      </c>
      <c r="F61" s="1"/>
      <c r="G61" s="282"/>
      <c r="H61" s="68"/>
      <c r="J61" s="68"/>
    </row>
    <row r="62" spans="1:10" ht="14.25">
      <c r="A62" s="279">
        <f t="shared" si="0"/>
        <v>58</v>
      </c>
      <c r="B62" s="280" t="s">
        <v>421</v>
      </c>
      <c r="C62" s="280" t="s">
        <v>422</v>
      </c>
      <c r="D62" s="281" t="s">
        <v>357</v>
      </c>
      <c r="E62" s="1">
        <v>15</v>
      </c>
      <c r="F62" s="1">
        <f t="shared" si="1"/>
        <v>750</v>
      </c>
      <c r="G62" s="283">
        <v>3700</v>
      </c>
      <c r="H62" s="68"/>
      <c r="J62" s="68"/>
    </row>
    <row r="63" spans="1:10" ht="14.25">
      <c r="A63" s="279">
        <f t="shared" si="0"/>
        <v>59</v>
      </c>
      <c r="B63" s="280"/>
      <c r="C63" s="280" t="s">
        <v>344</v>
      </c>
      <c r="D63" s="281" t="s">
        <v>352</v>
      </c>
      <c r="E63" s="1">
        <v>18</v>
      </c>
      <c r="F63" s="11"/>
      <c r="G63" s="282"/>
      <c r="H63" s="68"/>
      <c r="J63" s="68"/>
    </row>
    <row r="64" spans="1:10" ht="14.25">
      <c r="A64" s="279">
        <f t="shared" si="0"/>
        <v>60</v>
      </c>
      <c r="B64" s="280"/>
      <c r="C64" s="280" t="s">
        <v>344</v>
      </c>
      <c r="D64" s="281" t="s">
        <v>451</v>
      </c>
      <c r="E64" s="1">
        <v>20</v>
      </c>
      <c r="F64" s="11"/>
      <c r="G64" s="282"/>
      <c r="H64" s="68"/>
      <c r="J64" s="68"/>
    </row>
    <row r="65" spans="1:10" ht="14.25">
      <c r="A65" s="279">
        <f t="shared" si="0"/>
        <v>61</v>
      </c>
      <c r="B65" s="280" t="s">
        <v>423</v>
      </c>
      <c r="C65" s="280" t="s">
        <v>334</v>
      </c>
      <c r="D65" s="281" t="s">
        <v>424</v>
      </c>
      <c r="E65" s="1">
        <v>37</v>
      </c>
      <c r="F65" s="1">
        <f t="shared" si="1"/>
        <v>1850</v>
      </c>
      <c r="G65" s="282"/>
      <c r="H65" s="68"/>
      <c r="J65" s="68"/>
    </row>
    <row r="66" spans="1:10" ht="14.25">
      <c r="A66" s="279">
        <f t="shared" si="0"/>
        <v>62</v>
      </c>
      <c r="B66" s="280" t="s">
        <v>425</v>
      </c>
      <c r="C66" s="280" t="s">
        <v>426</v>
      </c>
      <c r="D66" s="281" t="s">
        <v>370</v>
      </c>
      <c r="E66" s="1">
        <v>31</v>
      </c>
      <c r="F66" s="1">
        <f t="shared" si="1"/>
        <v>1550</v>
      </c>
      <c r="G66" s="283">
        <v>3700</v>
      </c>
      <c r="H66" s="68"/>
      <c r="J66" s="68"/>
    </row>
    <row r="67" spans="1:10" ht="14.25">
      <c r="A67" s="279">
        <f t="shared" si="0"/>
        <v>63</v>
      </c>
      <c r="B67" s="280" t="s">
        <v>427</v>
      </c>
      <c r="C67" s="280" t="s">
        <v>326</v>
      </c>
      <c r="D67" s="281" t="s">
        <v>428</v>
      </c>
      <c r="E67" s="1">
        <v>20</v>
      </c>
      <c r="F67" s="1">
        <f t="shared" si="1"/>
        <v>1000</v>
      </c>
      <c r="G67" s="282"/>
      <c r="H67" s="68"/>
      <c r="J67" s="68"/>
    </row>
    <row r="68" spans="1:10" ht="14.25">
      <c r="A68" s="279">
        <f t="shared" si="0"/>
        <v>64</v>
      </c>
      <c r="B68" s="280"/>
      <c r="C68" s="280" t="s">
        <v>452</v>
      </c>
      <c r="D68" s="281" t="s">
        <v>370</v>
      </c>
      <c r="E68" s="1">
        <v>31</v>
      </c>
      <c r="F68" s="1"/>
      <c r="G68" s="282"/>
      <c r="H68" s="68"/>
      <c r="J68" s="68"/>
    </row>
    <row r="69" spans="1:10" ht="33.75" customHeight="1">
      <c r="A69" s="279">
        <f>A67+1</f>
        <v>64</v>
      </c>
      <c r="B69" s="280" t="s">
        <v>412</v>
      </c>
      <c r="C69" s="280" t="s">
        <v>429</v>
      </c>
      <c r="D69" s="399" t="s">
        <v>430</v>
      </c>
      <c r="E69" s="400"/>
      <c r="F69" s="401"/>
      <c r="G69" s="282">
        <v>6400</v>
      </c>
      <c r="H69" s="68"/>
      <c r="J69" s="68"/>
    </row>
    <row r="70" spans="1:10" ht="27.75" thickBot="1">
      <c r="A70" s="279">
        <f t="shared" si="0"/>
        <v>65</v>
      </c>
      <c r="B70" s="285" t="s">
        <v>431</v>
      </c>
      <c r="C70" s="285" t="s">
        <v>432</v>
      </c>
      <c r="D70" s="402" t="s">
        <v>433</v>
      </c>
      <c r="E70" s="403"/>
      <c r="F70" s="404"/>
      <c r="G70" s="286">
        <v>7400</v>
      </c>
      <c r="H70" s="68"/>
      <c r="J70" s="68"/>
    </row>
    <row r="71" spans="1:10" ht="15" thickBot="1">
      <c r="A71" s="405" t="s">
        <v>0</v>
      </c>
      <c r="B71" s="406"/>
      <c r="C71" s="406"/>
      <c r="D71" s="406"/>
      <c r="E71" s="406"/>
      <c r="F71" s="287">
        <f>SUM(F5:F70)</f>
        <v>52700</v>
      </c>
      <c r="G71" s="288">
        <f>SUM(G5:G70)</f>
        <v>50800</v>
      </c>
      <c r="H71" s="289"/>
      <c r="J71" s="289"/>
    </row>
    <row r="72" spans="2:6" ht="15" thickBot="1">
      <c r="B72" s="264"/>
      <c r="C72" s="348"/>
      <c r="D72" s="348"/>
      <c r="E72" s="348"/>
      <c r="F72" s="290"/>
    </row>
    <row r="73" spans="2:10" ht="15" thickBot="1">
      <c r="B73" s="264" t="s">
        <v>434</v>
      </c>
      <c r="E73" s="57" t="s">
        <v>457</v>
      </c>
      <c r="H73" s="291">
        <f>F71+G71</f>
        <v>103500</v>
      </c>
      <c r="J73" s="325"/>
    </row>
    <row r="74" ht="28.5">
      <c r="B74" s="264" t="s">
        <v>435</v>
      </c>
    </row>
  </sheetData>
  <sheetProtection/>
  <autoFilter ref="A4:J71"/>
  <mergeCells count="6">
    <mergeCell ref="B1:H1"/>
    <mergeCell ref="A2:H2"/>
    <mergeCell ref="D69:F69"/>
    <mergeCell ref="D70:F70"/>
    <mergeCell ref="A71:E71"/>
    <mergeCell ref="C72:E7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PageLayoutView="0" workbookViewId="0" topLeftCell="A1">
      <selection activeCell="E17" sqref="E17"/>
    </sheetView>
  </sheetViews>
  <sheetFormatPr defaultColWidth="8.7109375" defaultRowHeight="15"/>
  <cols>
    <col min="1" max="1" width="5.8515625" style="297" customWidth="1"/>
    <col min="2" max="2" width="41.140625" style="297" customWidth="1"/>
    <col min="3" max="3" width="14.57421875" style="297" customWidth="1"/>
    <col min="4" max="4" width="39.00390625" style="297" customWidth="1"/>
    <col min="5" max="5" width="15.7109375" style="297" customWidth="1"/>
    <col min="6" max="16384" width="8.7109375" style="297" customWidth="1"/>
  </cols>
  <sheetData>
    <row r="1" spans="2:4" ht="12.75">
      <c r="B1" s="419" t="s">
        <v>287</v>
      </c>
      <c r="C1" s="419"/>
      <c r="D1" s="419"/>
    </row>
    <row r="2" spans="2:4" ht="33" customHeight="1">
      <c r="B2" s="420" t="s">
        <v>259</v>
      </c>
      <c r="C2" s="420"/>
      <c r="D2" s="420"/>
    </row>
    <row r="3" spans="2:4" ht="14.25" customHeight="1">
      <c r="B3" s="298"/>
      <c r="C3" s="298"/>
      <c r="D3" s="298"/>
    </row>
    <row r="4" spans="2:4" ht="54.75" customHeight="1">
      <c r="B4" s="417" t="s">
        <v>456</v>
      </c>
      <c r="C4" s="418"/>
      <c r="D4" s="418"/>
    </row>
    <row r="5" spans="2:4" ht="19.5" customHeight="1">
      <c r="B5" s="299" t="s">
        <v>441</v>
      </c>
      <c r="C5" s="298"/>
      <c r="D5" s="298"/>
    </row>
    <row r="6" spans="2:4" ht="32.25" customHeight="1">
      <c r="B6" s="410" t="s">
        <v>442</v>
      </c>
      <c r="C6" s="411"/>
      <c r="D6" s="411"/>
    </row>
    <row r="7" ht="12.75"/>
    <row r="8" spans="1:4" ht="30.75" customHeight="1">
      <c r="A8" s="300" t="s">
        <v>198</v>
      </c>
      <c r="B8" s="409" t="s">
        <v>443</v>
      </c>
      <c r="C8" s="413"/>
      <c r="D8" s="413"/>
    </row>
    <row r="9" spans="2:4" ht="12.75">
      <c r="B9" s="34" t="s">
        <v>440</v>
      </c>
      <c r="C9" s="178" t="s">
        <v>205</v>
      </c>
      <c r="D9" s="179" t="s">
        <v>206</v>
      </c>
    </row>
    <row r="10" spans="2:4" ht="25.5">
      <c r="B10" s="34" t="s">
        <v>199</v>
      </c>
      <c r="C10" s="180">
        <v>1.66</v>
      </c>
      <c r="D10" s="180">
        <v>3.36</v>
      </c>
    </row>
    <row r="11" spans="2:4" ht="12.75">
      <c r="B11" s="203"/>
      <c r="C11" s="204"/>
      <c r="D11" s="204"/>
    </row>
    <row r="12" spans="2:4" ht="12.75">
      <c r="B12" s="421" t="s">
        <v>288</v>
      </c>
      <c r="C12" s="422"/>
      <c r="D12" s="422"/>
    </row>
    <row r="13" ht="12.75"/>
    <row r="14" spans="1:4" ht="15" customHeight="1">
      <c r="A14" s="300" t="s">
        <v>200</v>
      </c>
      <c r="B14" s="412" t="s">
        <v>444</v>
      </c>
      <c r="C14" s="413"/>
      <c r="D14" s="413"/>
    </row>
    <row r="15" ht="13.5" thickBot="1">
      <c r="D15" s="301" t="s">
        <v>201</v>
      </c>
    </row>
    <row r="16" spans="2:4" ht="13.5" thickBot="1">
      <c r="B16" s="302" t="s">
        <v>208</v>
      </c>
      <c r="C16" s="303">
        <v>8</v>
      </c>
      <c r="D16" s="304">
        <f>C16*600</f>
        <v>4800</v>
      </c>
    </row>
    <row r="17" spans="2:4" ht="10.5" customHeight="1">
      <c r="B17" s="305"/>
      <c r="C17" s="306"/>
      <c r="D17" s="307"/>
    </row>
    <row r="18" spans="1:2" ht="12.75">
      <c r="A18" s="300" t="s">
        <v>202</v>
      </c>
      <c r="B18" s="297" t="s">
        <v>445</v>
      </c>
    </row>
    <row r="19" ht="9.75" customHeight="1" thickBot="1"/>
    <row r="20" spans="2:4" ht="13.5" thickBot="1">
      <c r="B20" s="302" t="s">
        <v>209</v>
      </c>
      <c r="C20" s="303">
        <v>2600</v>
      </c>
      <c r="D20" s="308">
        <v>2600</v>
      </c>
    </row>
    <row r="21" ht="10.5" customHeight="1"/>
    <row r="22" spans="1:2" ht="12.75">
      <c r="A22" s="300" t="s">
        <v>203</v>
      </c>
      <c r="B22" s="297" t="s">
        <v>446</v>
      </c>
    </row>
    <row r="23" ht="9.75" customHeight="1" thickBot="1"/>
    <row r="24" spans="2:4" ht="13.5" thickBot="1">
      <c r="B24" s="302" t="s">
        <v>210</v>
      </c>
      <c r="C24" s="309">
        <v>400</v>
      </c>
      <c r="D24" s="304">
        <v>400</v>
      </c>
    </row>
    <row r="25" ht="13.5" thickBot="1"/>
    <row r="26" spans="2:4" ht="13.5" thickBot="1">
      <c r="B26" s="310" t="s">
        <v>204</v>
      </c>
      <c r="C26" s="311"/>
      <c r="D26" s="312">
        <f>D16+D20+D24</f>
        <v>7800</v>
      </c>
    </row>
    <row r="27" ht="12.75">
      <c r="D27" s="313"/>
    </row>
    <row r="28" spans="2:4" ht="26.25" customHeight="1">
      <c r="B28" s="414" t="s">
        <v>447</v>
      </c>
      <c r="C28" s="415"/>
      <c r="D28" s="314">
        <f>D26/600*100</f>
        <v>1300</v>
      </c>
    </row>
    <row r="29" ht="12.75"/>
    <row r="30" spans="2:4" ht="45.75" customHeight="1">
      <c r="B30" s="410" t="s">
        <v>455</v>
      </c>
      <c r="C30" s="411"/>
      <c r="D30" s="411"/>
    </row>
    <row r="31" spans="2:4" ht="12.75">
      <c r="B31" s="315"/>
      <c r="C31" s="316"/>
      <c r="D31" s="316"/>
    </row>
    <row r="32" spans="1:4" ht="12.75">
      <c r="A32" s="300" t="s">
        <v>253</v>
      </c>
      <c r="B32" s="412" t="s">
        <v>211</v>
      </c>
      <c r="C32" s="413"/>
      <c r="D32" s="413"/>
    </row>
    <row r="33" spans="2:4" ht="25.5">
      <c r="B33" s="34" t="s">
        <v>234</v>
      </c>
      <c r="C33" s="178" t="s">
        <v>205</v>
      </c>
      <c r="D33" s="179" t="s">
        <v>206</v>
      </c>
    </row>
    <row r="34" spans="2:4" ht="25.5">
      <c r="B34" s="34" t="s">
        <v>199</v>
      </c>
      <c r="C34" s="180">
        <f>C10*106.4/100</f>
        <v>1.76624</v>
      </c>
      <c r="D34" s="180">
        <f>D10*106.4/100</f>
        <v>3.57504</v>
      </c>
    </row>
    <row r="35" ht="12.75"/>
    <row r="36" spans="1:4" ht="12.75">
      <c r="A36" s="300" t="s">
        <v>254</v>
      </c>
      <c r="B36" s="412" t="s">
        <v>448</v>
      </c>
      <c r="C36" s="413"/>
      <c r="D36" s="413"/>
    </row>
    <row r="37" ht="13.5" thickBot="1">
      <c r="D37" s="301" t="s">
        <v>201</v>
      </c>
    </row>
    <row r="38" spans="2:4" ht="25.5" customHeight="1" thickBot="1">
      <c r="B38" s="302" t="s">
        <v>208</v>
      </c>
      <c r="C38" s="317">
        <f>C16*106.4/100</f>
        <v>8.512</v>
      </c>
      <c r="D38" s="318">
        <f>C38*600</f>
        <v>5107.200000000001</v>
      </c>
    </row>
    <row r="39" spans="2:4" ht="12.75">
      <c r="B39" s="305"/>
      <c r="C39" s="306"/>
      <c r="D39" s="306"/>
    </row>
    <row r="40" spans="1:2" ht="25.5" customHeight="1">
      <c r="A40" s="300" t="s">
        <v>255</v>
      </c>
      <c r="B40" s="297" t="s">
        <v>445</v>
      </c>
    </row>
    <row r="41" ht="13.5" thickBot="1"/>
    <row r="42" spans="2:5" ht="13.5" thickBot="1">
      <c r="B42" s="302" t="s">
        <v>209</v>
      </c>
      <c r="C42" s="319">
        <f>C20*106.4/100</f>
        <v>2766.4</v>
      </c>
      <c r="D42" s="318">
        <f>C42</f>
        <v>2766.4</v>
      </c>
      <c r="E42" s="320"/>
    </row>
    <row r="43" ht="12.75">
      <c r="E43" s="320"/>
    </row>
    <row r="44" spans="1:5" ht="12.75">
      <c r="A44" s="300" t="s">
        <v>256</v>
      </c>
      <c r="B44" s="297" t="s">
        <v>446</v>
      </c>
      <c r="E44" s="320"/>
    </row>
    <row r="45" ht="13.5" thickBot="1">
      <c r="E45" s="320"/>
    </row>
    <row r="46" spans="2:5" ht="13.5" thickBot="1">
      <c r="B46" s="302" t="s">
        <v>210</v>
      </c>
      <c r="C46" s="319">
        <f>C24*106.4/100</f>
        <v>425.6</v>
      </c>
      <c r="D46" s="318">
        <f>C46</f>
        <v>425.6</v>
      </c>
      <c r="E46" s="320"/>
    </row>
    <row r="47" spans="1:5" ht="12.75">
      <c r="A47" s="320"/>
      <c r="B47" s="320"/>
      <c r="C47" s="320"/>
      <c r="D47" s="320"/>
      <c r="E47" s="320"/>
    </row>
    <row r="48" spans="1:5" ht="12.75">
      <c r="A48" s="320"/>
      <c r="B48" s="297" t="s">
        <v>204</v>
      </c>
      <c r="C48" s="320"/>
      <c r="D48" s="321">
        <f>D38+D42+D46</f>
        <v>8299.2</v>
      </c>
      <c r="E48" s="320"/>
    </row>
    <row r="49" spans="2:4" ht="12.75">
      <c r="B49" s="416" t="s">
        <v>258</v>
      </c>
      <c r="C49" s="416"/>
      <c r="D49" s="322">
        <f>D48/100*6</f>
        <v>497.952</v>
      </c>
    </row>
    <row r="50" spans="1:4" ht="12.75">
      <c r="A50" s="300" t="s">
        <v>257</v>
      </c>
      <c r="B50" s="407" t="s">
        <v>449</v>
      </c>
      <c r="C50" s="407"/>
      <c r="D50" s="407"/>
    </row>
    <row r="51" spans="2:4" ht="12.75">
      <c r="B51" s="408"/>
      <c r="C51" s="408"/>
      <c r="D51" s="408"/>
    </row>
    <row r="52" spans="2:4" ht="64.5" customHeight="1">
      <c r="B52" s="409"/>
      <c r="C52" s="409"/>
      <c r="D52" s="409"/>
    </row>
    <row r="53" spans="2:5" ht="31.5" customHeight="1">
      <c r="B53" s="294" t="s">
        <v>12</v>
      </c>
      <c r="C53" s="323"/>
      <c r="D53" s="294" t="s">
        <v>13</v>
      </c>
      <c r="E53" s="294"/>
    </row>
    <row r="54" spans="2:5" ht="12.75">
      <c r="B54" s="294"/>
      <c r="C54" s="294"/>
      <c r="D54" s="294"/>
      <c r="E54" s="294"/>
    </row>
    <row r="55" spans="2:5" ht="12.75">
      <c r="B55" s="249" t="s">
        <v>212</v>
      </c>
      <c r="C55" s="294"/>
      <c r="D55" s="294"/>
      <c r="E55" s="294"/>
    </row>
    <row r="56" spans="2:5" ht="9.75" customHeight="1">
      <c r="B56" s="294"/>
      <c r="C56" s="294"/>
      <c r="D56" s="294"/>
      <c r="E56" s="294"/>
    </row>
    <row r="57" spans="2:5" ht="12.75">
      <c r="B57" s="294" t="s">
        <v>262</v>
      </c>
      <c r="C57" s="294"/>
      <c r="D57" s="294"/>
      <c r="E57" s="294"/>
    </row>
    <row r="58" spans="2:5" ht="12.75">
      <c r="B58" s="294" t="s">
        <v>263</v>
      </c>
      <c r="C58" s="294" t="s">
        <v>264</v>
      </c>
      <c r="D58" s="294"/>
      <c r="E58" s="294"/>
    </row>
    <row r="59" spans="2:5" ht="12.75">
      <c r="B59" s="294"/>
      <c r="C59" s="294"/>
      <c r="D59" s="294"/>
      <c r="E59" s="294"/>
    </row>
    <row r="60" spans="2:5" ht="12.75">
      <c r="B60" s="294" t="s">
        <v>265</v>
      </c>
      <c r="C60" s="294" t="s">
        <v>266</v>
      </c>
      <c r="D60" s="294"/>
      <c r="E60" s="294"/>
    </row>
    <row r="61" spans="2:5" ht="12.75">
      <c r="B61" s="294"/>
      <c r="C61" s="294"/>
      <c r="D61" s="294"/>
      <c r="E61" s="294"/>
    </row>
    <row r="62" spans="2:5" ht="12.75">
      <c r="B62" s="294" t="s">
        <v>277</v>
      </c>
      <c r="C62" s="294" t="s">
        <v>268</v>
      </c>
      <c r="D62" s="294"/>
      <c r="E62" s="294"/>
    </row>
    <row r="63" ht="12.75"/>
    <row r="64" ht="12.75">
      <c r="B64" s="294" t="s">
        <v>267</v>
      </c>
    </row>
    <row r="65" ht="13.5">
      <c r="B65" s="249" t="s">
        <v>276</v>
      </c>
    </row>
    <row r="78" spans="1:4" ht="13.5">
      <c r="A78" s="306"/>
      <c r="B78" s="324"/>
      <c r="C78" s="324"/>
      <c r="D78" s="324"/>
    </row>
    <row r="79" spans="1:4" ht="13.5">
      <c r="A79" s="306"/>
      <c r="B79" s="306"/>
      <c r="C79" s="306"/>
      <c r="D79" s="306"/>
    </row>
  </sheetData>
  <sheetProtection/>
  <mergeCells count="13">
    <mergeCell ref="B4:D4"/>
    <mergeCell ref="B1:D1"/>
    <mergeCell ref="B2:D2"/>
    <mergeCell ref="B6:D6"/>
    <mergeCell ref="B8:D8"/>
    <mergeCell ref="B12:D12"/>
    <mergeCell ref="B50:D52"/>
    <mergeCell ref="B30:D30"/>
    <mergeCell ref="B32:D32"/>
    <mergeCell ref="B14:D14"/>
    <mergeCell ref="B28:C28"/>
    <mergeCell ref="B49:C49"/>
    <mergeCell ref="B36:D36"/>
  </mergeCells>
  <printOptions/>
  <pageMargins left="0.5905511811023623" right="0" top="0.1968503937007874" bottom="0" header="0.31496062992125984" footer="0.31496062992125984"/>
  <pageSetup fitToHeight="2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2018-11-27T12:38:52Z</cp:lastPrinted>
  <dcterms:created xsi:type="dcterms:W3CDTF">2006-09-28T05:33:49Z</dcterms:created>
  <dcterms:modified xsi:type="dcterms:W3CDTF">2021-02-16T09:17:34Z</dcterms:modified>
  <cp:category/>
  <cp:version/>
  <cp:contentType/>
  <cp:contentStatus/>
</cp:coreProperties>
</file>